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48" windowWidth="10320" windowHeight="7716" tabRatio="717"/>
  </bookViews>
  <sheets>
    <sheet name="Menu" sheetId="13" r:id="rId1"/>
    <sheet name="Form1" sheetId="3" r:id="rId2"/>
    <sheet name="Form2" sheetId="1" r:id="rId3"/>
    <sheet name="Form3" sheetId="4" r:id="rId4"/>
    <sheet name="Form4" sheetId="2" r:id="rId5"/>
    <sheet name="Form5" sheetId="5" r:id="rId6"/>
    <sheet name="Form6" sheetId="6" r:id="rId7"/>
    <sheet name="Form7" sheetId="8" r:id="rId8"/>
    <sheet name="Form8" sheetId="7" r:id="rId9"/>
    <sheet name="Form9" sheetId="9" r:id="rId10"/>
    <sheet name="Form10" sheetId="11" r:id="rId11"/>
    <sheet name="Form11" sheetId="12" r:id="rId12"/>
  </sheets>
  <calcPr calcId="145621"/>
</workbook>
</file>

<file path=xl/calcChain.xml><?xml version="1.0" encoding="utf-8"?>
<calcChain xmlns="http://schemas.openxmlformats.org/spreadsheetml/2006/main">
  <c r="E29" i="5" l="1"/>
  <c r="D18" i="1"/>
  <c r="E28" i="3"/>
  <c r="E37" i="9" l="1"/>
  <c r="E39" i="9" s="1"/>
  <c r="E41" i="9" s="1"/>
  <c r="E29" i="9"/>
  <c r="E33" i="9"/>
  <c r="E26" i="9"/>
  <c r="E35" i="9" s="1"/>
  <c r="E42" i="9" l="1"/>
  <c r="E43" i="9" s="1"/>
  <c r="E46" i="9" s="1"/>
  <c r="H8" i="7"/>
  <c r="K8" i="7" s="1"/>
  <c r="H9" i="7"/>
  <c r="K9" i="7" s="1"/>
  <c r="H5" i="7"/>
  <c r="K5" i="7" s="1"/>
  <c r="H6" i="7"/>
  <c r="K6" i="7" s="1"/>
  <c r="H7" i="7"/>
  <c r="K7" i="7" s="1"/>
  <c r="H4" i="7"/>
  <c r="K4" i="7" s="1"/>
  <c r="K19" i="7" l="1"/>
  <c r="E37" i="7" s="1"/>
  <c r="E26" i="6"/>
  <c r="E28" i="6" s="1"/>
  <c r="E37" i="6"/>
  <c r="E38" i="7" l="1"/>
  <c r="E42" i="6"/>
  <c r="E46" i="6" s="1"/>
  <c r="E47" i="6" s="1"/>
  <c r="E50" i="6" s="1"/>
  <c r="E53" i="6" s="1"/>
  <c r="E58" i="6" s="1"/>
  <c r="E38" i="5"/>
  <c r="E20" i="5"/>
  <c r="E12" i="5"/>
  <c r="E32" i="5"/>
  <c r="E41" i="7" l="1"/>
  <c r="E44" i="7" s="1"/>
  <c r="E41" i="5"/>
  <c r="D29" i="1"/>
  <c r="D20" i="1"/>
  <c r="D22" i="1" s="1"/>
  <c r="E15" i="3"/>
  <c r="E18" i="3" s="1"/>
  <c r="E5" i="3"/>
  <c r="D18" i="2"/>
  <c r="D20" i="2" s="1"/>
  <c r="D23" i="2" s="1"/>
  <c r="D25" i="2" s="1"/>
  <c r="D14" i="2"/>
  <c r="C10" i="4"/>
  <c r="D32" i="1" l="1"/>
  <c r="E52" i="5"/>
  <c r="E55" i="5" s="1"/>
  <c r="E32" i="3"/>
  <c r="E44" i="5"/>
  <c r="E10" i="3"/>
  <c r="E58" i="5" l="1"/>
  <c r="E63" i="5" s="1"/>
</calcChain>
</file>

<file path=xl/sharedStrings.xml><?xml version="1.0" encoding="utf-8"?>
<sst xmlns="http://schemas.openxmlformats.org/spreadsheetml/2006/main" count="845" uniqueCount="451">
  <si>
    <t>C</t>
  </si>
  <si>
    <t>bar</t>
  </si>
  <si>
    <t>%</t>
  </si>
  <si>
    <t>การคำนวณประสิทธิภาพหม้อไอน้ำ</t>
  </si>
  <si>
    <t>อุณหภูมิน้ำป้อนหม้อไอน้ำ</t>
  </si>
  <si>
    <t>ความดันไอน้ำที่ผลิต</t>
  </si>
  <si>
    <t>ปริมาณน้ำป้อน</t>
  </si>
  <si>
    <t>สัญลักษณ์</t>
  </si>
  <si>
    <t>ค่า</t>
  </si>
  <si>
    <t>หน่วย</t>
  </si>
  <si>
    <t>ปริมาตรจำเพาะน้ำป้อน</t>
  </si>
  <si>
    <t>kJ/kg</t>
  </si>
  <si>
    <t xml:space="preserve"> </t>
  </si>
  <si>
    <r>
      <t>V</t>
    </r>
    <r>
      <rPr>
        <vertAlign val="subscript"/>
        <sz val="11"/>
        <color theme="1"/>
        <rFont val="Tahoma"/>
        <family val="2"/>
        <scheme val="minor"/>
      </rPr>
      <t>l</t>
    </r>
  </si>
  <si>
    <r>
      <t>dm</t>
    </r>
    <r>
      <rPr>
        <vertAlign val="superscript"/>
        <sz val="11"/>
        <color theme="1"/>
        <rFont val="Tahoma"/>
        <family val="2"/>
        <scheme val="minor"/>
      </rPr>
      <t>3</t>
    </r>
    <r>
      <rPr>
        <sz val="11"/>
        <color theme="1"/>
        <rFont val="Tahoma"/>
        <family val="2"/>
        <scheme val="minor"/>
      </rPr>
      <t>/kg</t>
    </r>
  </si>
  <si>
    <t>T1</t>
  </si>
  <si>
    <t>P</t>
  </si>
  <si>
    <t>WV</t>
  </si>
  <si>
    <t>ไอน้ำที่ผลิต</t>
  </si>
  <si>
    <t>ST</t>
  </si>
  <si>
    <t>W</t>
  </si>
  <si>
    <t>ค่าความร้อนของเชื้อเพลิง</t>
  </si>
  <si>
    <t>พลังงานป้อนจากเชื้อเพลิง</t>
  </si>
  <si>
    <t>ปริมาณเชื้อเพลิงป้อนเข้าหม้อไอน้ำ</t>
  </si>
  <si>
    <t>F</t>
  </si>
  <si>
    <t>H</t>
  </si>
  <si>
    <t>BE</t>
  </si>
  <si>
    <t xml:space="preserve">ร้อยละออกซิเจนส่วนเกิน </t>
  </si>
  <si>
    <t>O%</t>
  </si>
  <si>
    <t>ความสูญเสียก่อนปรับปรุง</t>
  </si>
  <si>
    <t>ขนิดเชื้อเพลิง(แข็ง เหลว ก๊าซ)</t>
  </si>
  <si>
    <t xml:space="preserve">ความดันไอน้ำที่ผลิต </t>
  </si>
  <si>
    <t>บาร์</t>
  </si>
  <si>
    <t>อุณหภูมิไอน้ำที่ความดันที่ผลิต</t>
  </si>
  <si>
    <t>หน่วยต่อวัน</t>
  </si>
  <si>
    <t>FS</t>
  </si>
  <si>
    <t>FS = F x (1-(100-LO)/(100-LN))</t>
  </si>
  <si>
    <t>LN</t>
  </si>
  <si>
    <t>LO</t>
  </si>
  <si>
    <t>เหลว</t>
  </si>
  <si>
    <t>TL</t>
  </si>
  <si>
    <t>LL</t>
  </si>
  <si>
    <t>TH</t>
  </si>
  <si>
    <t>LH</t>
  </si>
  <si>
    <t>TI</t>
  </si>
  <si>
    <t>LI</t>
  </si>
  <si>
    <t>วันต่อปี</t>
  </si>
  <si>
    <t>DY</t>
  </si>
  <si>
    <t>FSY</t>
  </si>
  <si>
    <t>หน่วยต่อปี</t>
  </si>
  <si>
    <t>ราคาค่าเชื้อเพลิง</t>
  </si>
  <si>
    <t>บาทต่อหน่วย</t>
  </si>
  <si>
    <t>ค่าใช้จ่ายพลังานที่ประหยัดได้</t>
  </si>
  <si>
    <t>บาทต่อปี</t>
  </si>
  <si>
    <t>CSY</t>
  </si>
  <si>
    <t xml:space="preserve">CSY = FSY x C </t>
  </si>
  <si>
    <t xml:space="preserve">ค่าใช้จ่ายในบำรุงรักษา </t>
  </si>
  <si>
    <t>ระยะเวลาการคืนทุน</t>
  </si>
  <si>
    <t>ROI</t>
  </si>
  <si>
    <t>ปี</t>
  </si>
  <si>
    <t>ชั่วโมงต่อวัน</t>
  </si>
  <si>
    <t>กรูณาตรวจวัดและเติมค่าในช่องสีเหลือง</t>
  </si>
  <si>
    <t>ค่าใชจ่ายสารเคมีในการปรับปรุงคุณภาพน้ำป้อนหม้อไอน้ำ (ต่อเดือน)</t>
  </si>
  <si>
    <t>ลิตร</t>
  </si>
  <si>
    <t>บาท</t>
  </si>
  <si>
    <t>แหล่งน้ำดิบ</t>
  </si>
  <si>
    <t>น้ำบาดาล</t>
  </si>
  <si>
    <t>ราคาค่าน้ำดิบ</t>
  </si>
  <si>
    <t>CW</t>
  </si>
  <si>
    <t>ต้นทุนน้ำป้อนหม้อไอน้ำ</t>
  </si>
  <si>
    <t>TWC</t>
  </si>
  <si>
    <t>CC</t>
  </si>
  <si>
    <t>ต้นทุนเชื้อเพลิงป้อนหม้อไอน้ำ</t>
  </si>
  <si>
    <t>ชนิดเชื้อเพิลงป้อนหม้อไอน้ำ</t>
  </si>
  <si>
    <t>FC</t>
  </si>
  <si>
    <t>บาทต่อเดือน</t>
  </si>
  <si>
    <t>FCM</t>
  </si>
  <si>
    <t>FCS</t>
  </si>
  <si>
    <t>FCM = FxFC</t>
  </si>
  <si>
    <t>TSC</t>
  </si>
  <si>
    <t>หมายเหตุ รวมค่าใช้จ่ายสารเคมีที่ใช้ในการปรับคุณภาพน้ำทั้งหมด</t>
  </si>
  <si>
    <t>บาทต่อคิว</t>
  </si>
  <si>
    <t>คิวต่อเดือน</t>
  </si>
  <si>
    <t>บาทต่อตันไอน้ำ</t>
  </si>
  <si>
    <t>BD</t>
  </si>
  <si>
    <r>
      <t>h</t>
    </r>
    <r>
      <rPr>
        <vertAlign val="subscript"/>
        <sz val="11"/>
        <color theme="1"/>
        <rFont val="Tahoma"/>
        <family val="2"/>
        <scheme val="minor"/>
      </rPr>
      <t>l1</t>
    </r>
  </si>
  <si>
    <r>
      <t>h</t>
    </r>
    <r>
      <rPr>
        <vertAlign val="subscript"/>
        <sz val="11"/>
        <color theme="1"/>
        <rFont val="Tahoma"/>
        <family val="2"/>
        <scheme val="minor"/>
      </rPr>
      <t>l2</t>
    </r>
  </si>
  <si>
    <t>ppm</t>
  </si>
  <si>
    <t>kg</t>
  </si>
  <si>
    <r>
      <t>h</t>
    </r>
    <r>
      <rPr>
        <vertAlign val="subscript"/>
        <sz val="11"/>
        <color theme="1"/>
        <rFont val="Tahoma"/>
        <family val="2"/>
        <scheme val="minor"/>
      </rPr>
      <t>l100</t>
    </r>
  </si>
  <si>
    <r>
      <t>h</t>
    </r>
    <r>
      <rPr>
        <vertAlign val="subscript"/>
        <sz val="11"/>
        <color theme="1"/>
        <rFont val="Tahoma"/>
        <family val="2"/>
        <scheme val="minor"/>
      </rPr>
      <t>g100</t>
    </r>
  </si>
  <si>
    <r>
      <t>h</t>
    </r>
    <r>
      <rPr>
        <vertAlign val="subscript"/>
        <sz val="11"/>
        <color theme="1"/>
        <rFont val="Tahoma"/>
        <family val="2"/>
        <scheme val="minor"/>
      </rPr>
      <t>g2</t>
    </r>
  </si>
  <si>
    <t>DM</t>
  </si>
  <si>
    <t>วันต่อเดือน</t>
  </si>
  <si>
    <t>คุณสมบัติน้ำก่อนปรับปรุง</t>
  </si>
  <si>
    <t>TDS น้ำในหม้อไอน้ำ</t>
  </si>
  <si>
    <t>TDS น้ำดิบป้อน</t>
  </si>
  <si>
    <t>D1</t>
  </si>
  <si>
    <t>D21</t>
  </si>
  <si>
    <t>D11</t>
  </si>
  <si>
    <t>คุณสมบัติน้ำหลังปรับปรุง</t>
  </si>
  <si>
    <t>%TBD1</t>
  </si>
  <si>
    <t>D22</t>
  </si>
  <si>
    <t>D12</t>
  </si>
  <si>
    <t>%TBD2</t>
  </si>
  <si>
    <t>TBDS</t>
  </si>
  <si>
    <t>TBD1</t>
  </si>
  <si>
    <t>TWCS</t>
  </si>
  <si>
    <t>ต้นทุนพลังงานที่ประหยัดได้</t>
  </si>
  <si>
    <t>ชนิดเชื้อเพลิง</t>
  </si>
  <si>
    <t>น้ำมันเตาซี</t>
  </si>
  <si>
    <t>หน่วยเชื้อเพลิง</t>
  </si>
  <si>
    <t>MJ/หน่วย</t>
  </si>
  <si>
    <t>FUS</t>
  </si>
  <si>
    <t>เงินลงทุนในการปรับปรุงคุณภาพน้ำ</t>
  </si>
  <si>
    <t>TCS</t>
  </si>
  <si>
    <t>ผลตอบแทนการลงทุน</t>
  </si>
  <si>
    <t>I</t>
  </si>
  <si>
    <t>แบบฟอร์มที่ 2 การวัดประสิทธิภาพหม้อไอน้ำ</t>
  </si>
  <si>
    <t>แบบฟอร์มที่ 3 การอินเตอร์โพเลท(Interpolate) ความสูญเสียที่ปล่องไอเสีย</t>
  </si>
  <si>
    <t>แบบฟอร์มที่ 4 การประเมินการสูญเสีย จากออกซิเจนส่วนเกินในไอเสียและอุณหภูมิไอเสีย</t>
  </si>
  <si>
    <t>ก่อนการปรับปรุง</t>
  </si>
  <si>
    <t>in (นิ้ว)</t>
  </si>
  <si>
    <t>HL1</t>
  </si>
  <si>
    <t>in</t>
  </si>
  <si>
    <t>mm</t>
  </si>
  <si>
    <t>ฉนวนใยแก้ว</t>
  </si>
  <si>
    <t>ความดันไอน้ำในท่อ</t>
  </si>
  <si>
    <t>เส้นผ่าศูนย์กลางท่อที่ไม่ได้หุ้มฉนวน</t>
  </si>
  <si>
    <t>เส้นผ่าศูนย์กลางภายนอกที่หุ้มฉนวนแล้ว</t>
  </si>
  <si>
    <t>T2</t>
  </si>
  <si>
    <t>D2</t>
  </si>
  <si>
    <t>W/m</t>
  </si>
  <si>
    <t>kW/m</t>
  </si>
  <si>
    <t>ความยาวท่อ</t>
  </si>
  <si>
    <t>L</t>
  </si>
  <si>
    <t>เมตร</t>
  </si>
  <si>
    <t>ข้อมูลการทำงาน</t>
  </si>
  <si>
    <t>Hr</t>
  </si>
  <si>
    <t>ชั่วโมงการทำงานต่อวัน</t>
  </si>
  <si>
    <t>วันทำงานต่อปี</t>
  </si>
  <si>
    <t>THL1</t>
  </si>
  <si>
    <t>น้ำมันเตา</t>
  </si>
  <si>
    <t>ค่าความร้อนเชื้อเพลิง</t>
  </si>
  <si>
    <t>ราคาเชื้อเพลิง</t>
  </si>
  <si>
    <t>kWh/y</t>
  </si>
  <si>
    <t>อุณหภูมิผิวท่อ (เท่ากับอุณหภูมิไอน้ำ ดูตารางไอน้ำ)</t>
  </si>
  <si>
    <t>HL2</t>
  </si>
  <si>
    <t>THL2</t>
  </si>
  <si>
    <t>THS</t>
  </si>
  <si>
    <t>การสูญเสียความร้อนที่ลดลง (Total Heat Loss Saving)</t>
  </si>
  <si>
    <t>MJ/y</t>
  </si>
  <si>
    <t>ค่าเชื้อเพลิงที่ประหยัดได้</t>
  </si>
  <si>
    <t>HV</t>
  </si>
  <si>
    <t>ประสิทธิภาพหม้อไอน้ำ</t>
  </si>
  <si>
    <t>FCS = FS x C</t>
  </si>
  <si>
    <t>เงินลงทุนฉนวน</t>
  </si>
  <si>
    <t>ROI = I/FCS</t>
  </si>
  <si>
    <t>ข้อต่อหน้าแปลน</t>
  </si>
  <si>
    <t>วาล์ว</t>
  </si>
  <si>
    <t>ความยาวท่อ + (0.4 x จำนวนข้อต่อหน้าแปลน) + (1.2 x จำนวนวาล์ว)</t>
  </si>
  <si>
    <t>แบบฟอร์มที่ 7 ใบตรวจสอบ Steam Trap</t>
  </si>
  <si>
    <t>ชนิด</t>
  </si>
  <si>
    <t>ยี่ห้อ</t>
  </si>
  <si>
    <t>ตำแหน่งติดตั้ง</t>
  </si>
  <si>
    <t>วิธีการตรวจสอบการรั่ว</t>
  </si>
  <si>
    <t>ผลการตรวจสอบ(Ok or Fail)</t>
  </si>
  <si>
    <t>ลูกลอย</t>
  </si>
  <si>
    <t>ท่อเมน</t>
  </si>
  <si>
    <t>thermo dif</t>
  </si>
  <si>
    <t>ok</t>
  </si>
  <si>
    <t>fail</t>
  </si>
  <si>
    <t>ลูกรีด1</t>
  </si>
  <si>
    <t>ลูกรีด2</t>
  </si>
  <si>
    <t>ลูกรีด3</t>
  </si>
  <si>
    <t>วันที่…15 ม.ค.57……………</t>
  </si>
  <si>
    <t>วันที่…15 มิ.ย.57……………</t>
  </si>
  <si>
    <t>วันที่...........................</t>
  </si>
  <si>
    <t>ท่อส่ง</t>
  </si>
  <si>
    <t>ขนาด(mm)</t>
  </si>
  <si>
    <t>ลำดับที่</t>
  </si>
  <si>
    <t>Header1</t>
  </si>
  <si>
    <t>Header2</t>
  </si>
  <si>
    <t>A=พื้นที่หน้าตั้ด(mm2)</t>
  </si>
  <si>
    <t>ขนาดกับดักไอน้ำ(mm)</t>
  </si>
  <si>
    <t>เส้นผ่าศูนย์ กลางรูรั่ว(mm)</t>
  </si>
  <si>
    <t>kg/hr</t>
  </si>
  <si>
    <t>TLL</t>
  </si>
  <si>
    <t>แบบฟอร์มที่ 8 การคำนวณความสูญเสียจาก Steam Trap รั่ว</t>
  </si>
  <si>
    <r>
      <t>h</t>
    </r>
    <r>
      <rPr>
        <vertAlign val="subscript"/>
        <sz val="11"/>
        <color theme="1"/>
        <rFont val="Tahoma"/>
        <family val="2"/>
        <scheme val="minor"/>
      </rPr>
      <t>lc</t>
    </r>
  </si>
  <si>
    <t>หลังการปรับปรุงนำคอนเดนเสทกลับหม้อไอน้ำ</t>
  </si>
  <si>
    <t>ES</t>
  </si>
  <si>
    <t>CR1</t>
  </si>
  <si>
    <t>CR1 rate</t>
  </si>
  <si>
    <t>CR1 rate = CR1/W x 100</t>
  </si>
  <si>
    <t>CR2</t>
  </si>
  <si>
    <t>CR2 rate</t>
  </si>
  <si>
    <t>เชื้อเพลิงที่ประหยัดได้</t>
  </si>
  <si>
    <t xml:space="preserve">FS = ES / (HV x BE) </t>
  </si>
  <si>
    <t>ค่าพลังงานที่ประหยัดได้</t>
  </si>
  <si>
    <t xml:space="preserve"> FCS = FS x C</t>
  </si>
  <si>
    <t>เงินลงทุนในการปรับปรุง</t>
  </si>
  <si>
    <t>แบบฟอร์มที่ 1 การประมาณ ต้นทุนไอน้ำ</t>
  </si>
  <si>
    <t>ต้นทุนน้ำดิบป้อนหม้อไอน้ำ</t>
  </si>
  <si>
    <t>หน่วยเชื้อเพลิงป้อนหม้อไอน้ำ</t>
  </si>
  <si>
    <t>ข้อมูลการผลิตไอน้ำ</t>
  </si>
  <si>
    <t>FU</t>
  </si>
  <si>
    <t xml:space="preserve">FU = F x H </t>
  </si>
  <si>
    <t>BE = ST/ FU</t>
  </si>
  <si>
    <t>อุณหภูมิน้ำดิบป้อนหม้อไอน้ำ</t>
  </si>
  <si>
    <t>แบบฟอร์มที่ 5 การปรับปรุงน้ำระบาย(Blowdown)</t>
  </si>
  <si>
    <t>แบบฟอร์มที่ 6 การคำนวณความร้อนสูญเสียท่อส่งไอน้ำ</t>
  </si>
  <si>
    <t>บริษัท....เอ็นจี..............</t>
  </si>
  <si>
    <t xml:space="preserve">การประเมินการสูญเสียพลังงาน </t>
  </si>
  <si>
    <r>
      <t>m</t>
    </r>
    <r>
      <rPr>
        <vertAlign val="subscript"/>
        <sz val="8"/>
        <color theme="1"/>
        <rFont val="Tahoma"/>
        <family val="2"/>
        <scheme val="minor"/>
      </rPr>
      <t>L</t>
    </r>
    <r>
      <rPr>
        <sz val="8"/>
        <color theme="1"/>
        <rFont val="Tahoma"/>
        <family val="2"/>
        <scheme val="minor"/>
      </rPr>
      <t>=        (A/3.24)x(P) x LF     (kg/hr)</t>
    </r>
  </si>
  <si>
    <r>
      <t>FS = TLL x (h</t>
    </r>
    <r>
      <rPr>
        <vertAlign val="subscript"/>
        <sz val="9"/>
        <color theme="1"/>
        <rFont val="Tahoma"/>
        <family val="2"/>
        <scheme val="minor"/>
      </rPr>
      <t>g2</t>
    </r>
    <r>
      <rPr>
        <sz val="9"/>
        <color theme="1"/>
        <rFont val="Tahoma"/>
        <family val="2"/>
        <scheme val="minor"/>
      </rPr>
      <t>-h</t>
    </r>
    <r>
      <rPr>
        <vertAlign val="subscript"/>
        <sz val="9"/>
        <color theme="1"/>
        <rFont val="Tahoma"/>
        <family val="2"/>
        <scheme val="minor"/>
      </rPr>
      <t>l1</t>
    </r>
    <r>
      <rPr>
        <sz val="9"/>
        <color theme="1"/>
        <rFont val="Tahoma"/>
        <family val="2"/>
        <scheme val="minor"/>
      </rPr>
      <t>) x Hr x Dy / (BE x HV x 1000)</t>
    </r>
  </si>
  <si>
    <t>อัตราการนำกลับตอนเดนเสท</t>
  </si>
  <si>
    <t xml:space="preserve">ประหยัดน้ำได้ </t>
  </si>
  <si>
    <t>TWCS = TWC x CR2</t>
  </si>
  <si>
    <t>รวมผลประหยัดพลังงานและน้ำ</t>
  </si>
  <si>
    <t xml:space="preserve">TCS = TWCS+FCS </t>
  </si>
  <si>
    <r>
      <t>ES = CR2 x (h</t>
    </r>
    <r>
      <rPr>
        <vertAlign val="subscript"/>
        <sz val="11"/>
        <color theme="1"/>
        <rFont val="Tahoma"/>
        <family val="2"/>
        <scheme val="minor"/>
      </rPr>
      <t>lc</t>
    </r>
    <r>
      <rPr>
        <sz val="11"/>
        <color theme="1"/>
        <rFont val="Tahoma"/>
        <family val="2"/>
        <scheme val="minor"/>
      </rPr>
      <t>-h</t>
    </r>
    <r>
      <rPr>
        <vertAlign val="subscript"/>
        <sz val="11"/>
        <color theme="1"/>
        <rFont val="Tahoma"/>
        <family val="2"/>
        <scheme val="minor"/>
      </rPr>
      <t>l1</t>
    </r>
    <r>
      <rPr>
        <sz val="11"/>
        <color theme="1"/>
        <rFont val="Tahoma"/>
        <family val="2"/>
        <scheme val="minor"/>
      </rPr>
      <t>)</t>
    </r>
  </si>
  <si>
    <t>แบบฟอร์มที่ 9 การคำนวณการนำคอนเดนเสทกลับ</t>
  </si>
  <si>
    <t>ข้อ</t>
  </si>
  <si>
    <t>เกณฑ์</t>
  </si>
  <si>
    <t>ค่าตามเกณฑ์</t>
  </si>
  <si>
    <t>ค่าจากการตรวจวัด</t>
  </si>
  <si>
    <t>ผลการประเมิน</t>
  </si>
  <si>
    <t>(ผ่าน- ไม่ผ่าน)</t>
  </si>
  <si>
    <t>แนวทางการแก้ไข</t>
  </si>
  <si>
    <r>
      <t>ชนิดเชื้อเพลิง…</t>
    </r>
    <r>
      <rPr>
        <sz val="11"/>
        <color rgb="FFFF0000"/>
        <rFont val="TH SarabunPSK"/>
        <family val="2"/>
      </rPr>
      <t>เหลว</t>
    </r>
    <r>
      <rPr>
        <sz val="11"/>
        <color theme="1"/>
        <rFont val="TH SarabunPSK"/>
        <family val="2"/>
      </rPr>
      <t>….</t>
    </r>
  </si>
  <si>
    <r>
      <t>ประสิทธิภาพ =…</t>
    </r>
    <r>
      <rPr>
        <sz val="11"/>
        <color rgb="FFFF0000"/>
        <rFont val="TH SarabunPSK"/>
        <family val="2"/>
      </rPr>
      <t>80</t>
    </r>
    <r>
      <rPr>
        <sz val="11"/>
        <color theme="1"/>
        <rFont val="TH SarabunPSK"/>
        <family val="2"/>
      </rPr>
      <t>… (%)</t>
    </r>
  </si>
  <si>
    <r>
      <t>=…</t>
    </r>
    <r>
      <rPr>
        <sz val="11"/>
        <color rgb="FFFF0000"/>
        <rFont val="TH SarabunPSK"/>
        <family val="2"/>
      </rPr>
      <t>73.98</t>
    </r>
    <r>
      <rPr>
        <sz val="11"/>
        <color theme="1"/>
        <rFont val="TH SarabunPSK"/>
        <family val="2"/>
      </rPr>
      <t>… (%)</t>
    </r>
  </si>
  <si>
    <r>
      <t>(   ) ผ่าน  (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)  ไม่ผ่าน</t>
    </r>
  </si>
  <si>
    <t>ปรับปรุงประสิทธิภาพการเผาไหม้ (ออกซิเจนส่วนเกินในไอเสีย)</t>
  </si>
  <si>
    <t>ตรวจสอบอุณหภูมิไอเสียทิ้ง</t>
  </si>
  <si>
    <t>ออกซิเจนส่วนเกินในไอเสียเชื้อเพลิงแก๊ส 3%  น้ำมัน 5% เชื้อเพลิงแข็ง 10%</t>
  </si>
  <si>
    <r>
      <t>ชนิดเชื้อเพลิง…</t>
    </r>
    <r>
      <rPr>
        <sz val="11"/>
        <color rgb="FFFF0000"/>
        <rFont val="TH SarabunPSK"/>
        <family val="2"/>
      </rPr>
      <t>เหลว</t>
    </r>
    <r>
      <rPr>
        <sz val="11"/>
        <color theme="1"/>
        <rFont val="TH SarabunPSK"/>
        <family val="2"/>
      </rPr>
      <t>…….</t>
    </r>
  </si>
  <si>
    <t>ออกซิเจนส่วนเกินในไอเสียตามเกณฑ์</t>
  </si>
  <si>
    <r>
      <t>=…</t>
    </r>
    <r>
      <rPr>
        <sz val="11"/>
        <color rgb="FFFF0000"/>
        <rFont val="TH SarabunPSK"/>
        <family val="2"/>
      </rPr>
      <t>5</t>
    </r>
    <r>
      <rPr>
        <sz val="11"/>
        <color theme="1"/>
        <rFont val="TH SarabunPSK"/>
        <family val="2"/>
      </rPr>
      <t>… (%)</t>
    </r>
  </si>
  <si>
    <r>
      <t xml:space="preserve">( 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 )  ไม่ผ่าน</t>
    </r>
  </si>
  <si>
    <t xml:space="preserve">ปรับปรุงประสิทธิภาพการเผาไหม้ </t>
  </si>
  <si>
    <r>
      <t>ความดันไอน้ำที่ผลิต .</t>
    </r>
    <r>
      <rPr>
        <sz val="11"/>
        <color rgb="FFFF0000"/>
        <rFont val="TH SarabunPSK"/>
        <family val="2"/>
      </rPr>
      <t>9</t>
    </r>
    <r>
      <rPr>
        <sz val="11"/>
        <color theme="1"/>
        <rFont val="TH SarabunPSK"/>
        <family val="2"/>
      </rPr>
      <t>..บาร์</t>
    </r>
  </si>
  <si>
    <t>อุณหภูมิไอเสียทิ้ง</t>
  </si>
  <si>
    <r>
      <t xml:space="preserve">( 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>)  ไม่ผ่าน</t>
    </r>
  </si>
  <si>
    <t xml:space="preserve">มีการควบคุม Blow-down ให้ค่า TDS(Total Dissolved Solid)น้ำในหม้อไอน้ำอยู่ในช่วง 3,150-3,500 ppm และ ให้ค่า TDS ในน้ำดิบป้อนไม่เกิน 165 ppm </t>
  </si>
  <si>
    <t xml:space="preserve">(ประกาศกระทรวงอุตสาหกรรมเรื่อง คุณสมบัติของน้ำสำหรับหม้อน้ำ ปี 2549 : น้ำป้อนหม้อไอน้ำ ความกระด้างไม่เกิน 10 ppm pH 5.8-9.5 น้ำในหม้อไอน้ำ TDS ไม่เกิน 3500 ppm และ pH 8.5-11.8  ) </t>
  </si>
  <si>
    <r>
      <t xml:space="preserve">ค่า TDS น้ำดิบป้อนหม้อไอน้ำไม่เกิน </t>
    </r>
    <r>
      <rPr>
        <sz val="11"/>
        <color rgb="FFFF0000"/>
        <rFont val="TH SarabunPSK"/>
        <family val="2"/>
      </rPr>
      <t>165</t>
    </r>
    <r>
      <rPr>
        <sz val="11"/>
        <color theme="1"/>
        <rFont val="TH SarabunPSK"/>
        <family val="2"/>
      </rPr>
      <t xml:space="preserve"> ppm และ</t>
    </r>
  </si>
  <si>
    <r>
      <t xml:space="preserve">ในน้ำในหม้อไอน้ำอยู่ในช่วง </t>
    </r>
    <r>
      <rPr>
        <sz val="11"/>
        <color rgb="FFFF0000"/>
        <rFont val="TH SarabunPSK"/>
        <family val="2"/>
      </rPr>
      <t xml:space="preserve">3,150- 3,500 </t>
    </r>
    <r>
      <rPr>
        <sz val="11"/>
        <color theme="1"/>
        <rFont val="TH SarabunPSK"/>
        <family val="2"/>
      </rPr>
      <t>ppm</t>
    </r>
  </si>
  <si>
    <r>
      <t xml:space="preserve">ค่า TDS ในน้ำป้อนหม้อไอน้ำ  </t>
    </r>
    <r>
      <rPr>
        <sz val="11"/>
        <color rgb="FFFF0000"/>
        <rFont val="TH SarabunPSK"/>
        <family val="2"/>
      </rPr>
      <t xml:space="preserve">500 </t>
    </r>
    <r>
      <rPr>
        <sz val="11"/>
        <color theme="1"/>
        <rFont val="TH SarabunPSK"/>
        <family val="2"/>
      </rPr>
      <t>ppm</t>
    </r>
  </si>
  <si>
    <r>
      <t xml:space="preserve">ค่า TDS ในน้ำในหม้อไอน้ำ  </t>
    </r>
    <r>
      <rPr>
        <sz val="11"/>
        <color rgb="FFFF0000"/>
        <rFont val="TH SarabunPSK"/>
        <family val="2"/>
      </rPr>
      <t xml:space="preserve">2,500 </t>
    </r>
    <r>
      <rPr>
        <sz val="11"/>
        <color theme="1"/>
        <rFont val="TH SarabunPSK"/>
        <family val="2"/>
      </rPr>
      <t>ppm</t>
    </r>
  </si>
  <si>
    <r>
      <t xml:space="preserve">(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)  ไม่ผ่าน</t>
    </r>
  </si>
  <si>
    <t xml:space="preserve">ปรับปรุงคุณภาพน้ำป้อน(หาแหล่งน้ำใหม่ หรือ ใช้ระบบน้ำ RO(Reverse Osmosis) </t>
  </si>
  <si>
    <t>ปรับตั้งค่า Blow-down ใหม่</t>
  </si>
  <si>
    <r>
      <t xml:space="preserve">(   ) ผ่าน   ( </t>
    </r>
    <r>
      <rPr>
        <sz val="11"/>
        <color rgb="FFFF0000"/>
        <rFont val="TH SarabunPSK"/>
        <family val="2"/>
      </rPr>
      <t>/</t>
    </r>
    <r>
      <rPr>
        <sz val="11"/>
        <color theme="1"/>
        <rFont val="TH SarabunPSK"/>
        <family val="2"/>
      </rPr>
      <t xml:space="preserve"> )  ไม่ผ่าน</t>
    </r>
  </si>
  <si>
    <t>ตรวจสอบและปรับปรุงฉนวน</t>
  </si>
  <si>
    <r>
      <t xml:space="preserve">เสียไม่เกิน   </t>
    </r>
    <r>
      <rPr>
        <sz val="11"/>
        <color rgb="FFFF0000"/>
        <rFont val="TH SarabunPSK"/>
        <family val="2"/>
      </rPr>
      <t>10%</t>
    </r>
  </si>
  <si>
    <r>
      <t>คิดเป็น...</t>
    </r>
    <r>
      <rPr>
        <sz val="11"/>
        <color rgb="FFFF0000"/>
        <rFont val="TH SarabunPSK"/>
        <family val="2"/>
      </rPr>
      <t>12</t>
    </r>
    <r>
      <rPr>
        <sz val="11"/>
        <color theme="1"/>
        <rFont val="TH SarabunPSK"/>
        <family val="2"/>
      </rPr>
      <t>.....%</t>
    </r>
  </si>
  <si>
    <t xml:space="preserve">ซ่อมและเปลี่ยน </t>
  </si>
  <si>
    <r>
      <t xml:space="preserve">อัตราส่งคืนคอนเดนเสทสูงกว่า </t>
    </r>
    <r>
      <rPr>
        <sz val="11"/>
        <color rgb="FFFF0000"/>
        <rFont val="TH SarabunPSK"/>
        <family val="2"/>
      </rPr>
      <t>80</t>
    </r>
    <r>
      <rPr>
        <sz val="11"/>
        <color theme="1"/>
        <rFont val="TH SarabunPSK"/>
        <family val="2"/>
      </rPr>
      <t xml:space="preserve"> %  </t>
    </r>
  </si>
  <si>
    <r>
      <t>อัตราส่งคืนคอนเดนเสท …..</t>
    </r>
    <r>
      <rPr>
        <sz val="11"/>
        <color rgb="FFFF0000"/>
        <rFont val="TH SarabunPSK"/>
        <family val="2"/>
      </rPr>
      <t>0</t>
    </r>
    <r>
      <rPr>
        <sz val="11"/>
        <color theme="1"/>
        <rFont val="TH SarabunPSK"/>
        <family val="2"/>
      </rPr>
      <t>....%</t>
    </r>
  </si>
  <si>
    <t>ปรับปรุงระบบนำคอนเดนเสทกลับ</t>
  </si>
  <si>
    <t>ตรวจวัด ณ วันที่ .............................</t>
  </si>
  <si>
    <t>จุดตรวจสอบและบำรุงรักษา</t>
  </si>
  <si>
    <t>ความถี่ในการตรวจวัด</t>
  </si>
  <si>
    <t>ผลการประเมิน/ดำเนินการ</t>
  </si>
  <si>
    <t>ทุกสัปดาห์</t>
  </si>
  <si>
    <t>(   ) ผ่าน   (   )  ไม่ผ่าน</t>
  </si>
  <si>
    <t>ถ้าวาล์วนิรภัยไม่ทำงานให้ทำการเปลี่ยนวาล์ว</t>
  </si>
  <si>
    <t>ทุกเดือน</t>
  </si>
  <si>
    <t xml:space="preserve">          (   ) ดำเนินการ วันที่...................</t>
  </si>
  <si>
    <t>ทุก 6 เดือน</t>
  </si>
  <si>
    <t>ทำความสะอาดหัวเผา</t>
  </si>
  <si>
    <t>เชื้อเพลิงเหลว</t>
  </si>
  <si>
    <t>เชื้อเพลิงก๊าซ</t>
  </si>
  <si>
    <t>ทุก 3 เดือน หรือ อุณหภูมิปล่องเกินเกณฑ์</t>
  </si>
  <si>
    <t>ล้างกรองน้ำมันเชื้อเพลิง</t>
  </si>
  <si>
    <t xml:space="preserve">ทุก 3 เดือน </t>
  </si>
  <si>
    <t xml:space="preserve">ตรวจสอบเครื่องมือวัดต่างๆ </t>
  </si>
  <si>
    <t xml:space="preserve">เปลี่ยนเมื่อพบว่าเสีย </t>
  </si>
  <si>
    <t>ทุกปี</t>
  </si>
  <si>
    <t>ตรวจสอบวาล์วนิรภัย</t>
  </si>
  <si>
    <t xml:space="preserve">ตรวจสอบ steam trap </t>
  </si>
  <si>
    <t>ตรวจสอบการเผาไหม้</t>
  </si>
  <si>
    <t>ปรับการเผาไหม้ให้ได้ตามเกณฑ์</t>
  </si>
  <si>
    <t xml:space="preserve">ตรวจสอบการรั่วไหลของไอน้ำ </t>
  </si>
  <si>
    <t>ตรวจสอบ และล้างตะกรันในหม้อไอน้ำ</t>
  </si>
  <si>
    <t>ตรวจสอบปริมาณการนำกลับคอนเดนเสท</t>
  </si>
  <si>
    <t>ถ้าไม่ได้ตามเกณฑ์ หาสาเหตุและดำเนินการแก้ไข</t>
  </si>
  <si>
    <t>แบบฟอร์มที่ 11 แนวทางการบำรุงรักษาระบบไอน้ำ</t>
  </si>
  <si>
    <t xml:space="preserve">Energy Analysis and Calculation Program </t>
  </si>
  <si>
    <t>Version 1.0 Developed By</t>
  </si>
  <si>
    <t>Energenuis Co.Ltd</t>
  </si>
  <si>
    <t>Steam system</t>
  </si>
  <si>
    <t>แบบฟอร์มที่ 10 สรุปปัจจัยที่มีผลต่อประสิทธิภาพระบบไอน้ำ</t>
  </si>
  <si>
    <t>ราคาเชื้อเพลิงป้อนหม้อไอน้ำ</t>
  </si>
  <si>
    <t>เอนทาลปีไอน้ำ</t>
  </si>
  <si>
    <t>เอนทาลปีน้ำในหม้อไอน้ำ</t>
  </si>
  <si>
    <t>เอนทาลปีไอน้ำที่ 100 องศาเซลเซียส (บรรยากาศ)</t>
  </si>
  <si>
    <t>เอนทาลปีน้ำที่ 100 องศาเซลเซียส (บรรยากาศ)</t>
  </si>
  <si>
    <t>TSC = (WxCW+CC+FCM)/(W-(BD+FS))</t>
  </si>
  <si>
    <t>เอนทาลปีน้ำป้อน</t>
  </si>
  <si>
    <r>
      <t>W = WV / V</t>
    </r>
    <r>
      <rPr>
        <vertAlign val="subscript"/>
        <sz val="11"/>
        <color theme="1"/>
        <rFont val="Tahoma"/>
        <family val="2"/>
        <scheme val="minor"/>
      </rPr>
      <t>l</t>
    </r>
    <r>
      <rPr>
        <sz val="11"/>
        <color theme="1"/>
        <rFont val="Tahoma"/>
        <family val="2"/>
        <scheme val="minor"/>
      </rPr>
      <t xml:space="preserve">   -  BD - FS</t>
    </r>
  </si>
  <si>
    <r>
      <rPr>
        <vertAlign val="superscript"/>
        <sz val="11"/>
        <color theme="1"/>
        <rFont val="Tahoma"/>
        <family val="2"/>
        <scheme val="minor"/>
      </rPr>
      <t>o</t>
    </r>
    <r>
      <rPr>
        <sz val="11"/>
        <color theme="1"/>
        <rFont val="Tahoma"/>
        <family val="2"/>
        <scheme val="minor"/>
      </rPr>
      <t>C</t>
    </r>
  </si>
  <si>
    <t>อุณหภูมิที่จุดต่ำ</t>
  </si>
  <si>
    <t>ความสูญเสียที่จุดต่ำ</t>
  </si>
  <si>
    <t>อุณหภูมิที่จุดสูง</t>
  </si>
  <si>
    <t>ความสูญเสียที่จุดสูง</t>
  </si>
  <si>
    <t>อุณหภูมิการอินเตอร์โพเลท</t>
  </si>
  <si>
    <t>ความสูญเสียที่อินเตอร์โพเลท</t>
  </si>
  <si>
    <t>แบบฟอร์มที่ 3 การอินเตอร์โพเลท (Interpolate) ความสูญเสียที่ปล่องไอเสีย</t>
  </si>
  <si>
    <t>ร้อยละออกซิเจนส่วนเกินก่อนปรับปรุง</t>
  </si>
  <si>
    <t>อุณหภูมิก๊าซไอเสียก่อนปรับปรุง</t>
  </si>
  <si>
    <t>ความสูญเสียที่ก่อนปรับปรุง</t>
  </si>
  <si>
    <t>ความสูญเสียหลังปรับปรุงหรือตามเกณฑ์แนะนำ</t>
  </si>
  <si>
    <r>
      <t xml:space="preserve">T22 = T21 +50 </t>
    </r>
    <r>
      <rPr>
        <vertAlign val="superscript"/>
        <sz val="11"/>
        <color theme="1"/>
        <rFont val="Tahoma"/>
        <family val="2"/>
        <scheme val="minor"/>
      </rPr>
      <t>o</t>
    </r>
    <r>
      <rPr>
        <sz val="11"/>
        <color theme="1"/>
        <rFont val="Tahoma"/>
        <family val="2"/>
        <scheme val="minor"/>
      </rPr>
      <t>C</t>
    </r>
  </si>
  <si>
    <t>ร้อยละออกซิเจนส่วนเกินหลังปรับปรุง</t>
  </si>
  <si>
    <t>อุณหภูมิก๊าซไอเสียตามเกณฑ์</t>
  </si>
  <si>
    <t>ปริมาณเชื้อเพลิงที่ใช้ต่อวัน(เฉลี่ย)</t>
  </si>
  <si>
    <t>จำนวนวันทำงานหรือวันเดินหม้อไอน้ำต่อปี</t>
  </si>
  <si>
    <t>เชื้อเพลิงที่ประหยัดได้ต่อปี (FSY=FSxDY)</t>
  </si>
  <si>
    <r>
      <t>FS = BDx(h</t>
    </r>
    <r>
      <rPr>
        <vertAlign val="subscript"/>
        <sz val="11"/>
        <color theme="1"/>
        <rFont val="Tahoma"/>
        <family val="2"/>
        <scheme val="minor"/>
      </rPr>
      <t>l2</t>
    </r>
    <r>
      <rPr>
        <sz val="11"/>
        <color theme="1"/>
        <rFont val="Tahoma"/>
        <family val="2"/>
        <scheme val="minor"/>
      </rPr>
      <t>-h</t>
    </r>
    <r>
      <rPr>
        <vertAlign val="subscript"/>
        <sz val="11"/>
        <color theme="1"/>
        <rFont val="Tahoma"/>
        <family val="2"/>
        <scheme val="minor"/>
      </rPr>
      <t>l100</t>
    </r>
    <r>
      <rPr>
        <sz val="11"/>
        <color theme="1"/>
        <rFont val="Tahoma"/>
        <family val="2"/>
        <scheme val="minor"/>
      </rPr>
      <t>)/(h</t>
    </r>
    <r>
      <rPr>
        <vertAlign val="subscript"/>
        <sz val="11"/>
        <color theme="1"/>
        <rFont val="Tahoma"/>
        <family val="2"/>
        <scheme val="minor"/>
      </rPr>
      <t>g100</t>
    </r>
    <r>
      <rPr>
        <sz val="11"/>
        <color theme="1"/>
        <rFont val="Tahoma"/>
        <family val="2"/>
        <scheme val="minor"/>
      </rPr>
      <t>-h</t>
    </r>
    <r>
      <rPr>
        <vertAlign val="subscript"/>
        <sz val="11"/>
        <color theme="1"/>
        <rFont val="Tahoma"/>
        <family val="2"/>
        <scheme val="minor"/>
      </rPr>
      <t>l100</t>
    </r>
    <r>
      <rPr>
        <sz val="11"/>
        <color theme="1"/>
        <rFont val="Tahoma"/>
        <family val="2"/>
        <scheme val="minor"/>
      </rPr>
      <t>)</t>
    </r>
  </si>
  <si>
    <t>TBD1 = (BD+FS)xDM</t>
  </si>
  <si>
    <t>%TBD1 = D11/(D12-D11)</t>
  </si>
  <si>
    <t>%TBD2 = D21/(D22-D21)</t>
  </si>
  <si>
    <t>FCS = FUS x FC</t>
  </si>
  <si>
    <t>TCS = TWCS+FCS</t>
  </si>
  <si>
    <t>ROI = I/(TCSx12)</t>
  </si>
  <si>
    <r>
      <t>เปิดตารางการสูญเสียความร้อนของพิ้นผิว</t>
    </r>
    <r>
      <rPr>
        <sz val="11"/>
        <color rgb="FFFF0000"/>
        <rFont val="Tahoma"/>
        <family val="2"/>
        <scheme val="minor"/>
      </rPr>
      <t xml:space="preserve"> (ตารางที่ 5)</t>
    </r>
  </si>
  <si>
    <t>ถ้าเป็นท่อไม่หุ้มฉนวนใช้ค่าอุณภูมิไอน้ำ และเส้นผ่าศูนย์กลางท่อไอน้ำ</t>
  </si>
  <si>
    <t xml:space="preserve">การสูญเสียความร้อนความร้อนหลังติดตั้งหรือเปลี่ยนฉนวนที่เลือก </t>
  </si>
  <si>
    <t>ความร้อนสูญเสียทั้งหมดหลังปรับปรุงต่อปี  (Total Heat Loss2)</t>
  </si>
  <si>
    <t>การสูญเสียความร้อนที่ลดลงและผลประหยัด</t>
  </si>
  <si>
    <t>THL2 = HL2 x L x Hr x DY</t>
  </si>
  <si>
    <t>หมายเลข Steam Trap</t>
  </si>
  <si>
    <t>เทอร์โมไดนามิค</t>
  </si>
  <si>
    <t>ไอน้ำรั่วจากกับดักไอน้ำ</t>
  </si>
  <si>
    <t>เงินลงทุน Steam Trap</t>
  </si>
  <si>
    <r>
      <t xml:space="preserve">เอนทาลปีคอนเดนเสทที่บรรยากาศ (100 </t>
    </r>
    <r>
      <rPr>
        <vertAlign val="superscript"/>
        <sz val="11"/>
        <color theme="1"/>
        <rFont val="Tahoma"/>
        <family val="2"/>
        <scheme val="minor"/>
      </rPr>
      <t>o</t>
    </r>
    <r>
      <rPr>
        <sz val="11"/>
        <color theme="1"/>
        <rFont val="Tahoma"/>
        <family val="2"/>
        <scheme val="minor"/>
      </rPr>
      <t>C)</t>
    </r>
  </si>
  <si>
    <t xml:space="preserve">ประสิทธิภาพเครื่องหม้อไอน้ำ(ไอน้ำที่ผลิตได้เทียบกับพลังงานเชื้อเพลิงที่ใช้) สูงกว่า 80 % สำหรับเชื้อเพลิงเหลวและก๊าซ และสูงกว่า 75% สำหรับเชื้อเพลิงแข็ง </t>
  </si>
  <si>
    <r>
      <t>อุณหภูมิก๊าซไอเสียทิ้ง (Flue Gas) สูงกว่าอุณหภูมิความดันไอน้ำอิ่มตัวไม่เกิน 50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>C ก่อนเข้า Economizer (ยกเว้นเชื้อเพลิงมีซัลเฟอร์อุณหภูมิไม่ต่ำกว่า 200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 xml:space="preserve">C) </t>
    </r>
  </si>
  <si>
    <r>
      <t>....</t>
    </r>
    <r>
      <rPr>
        <sz val="11"/>
        <color rgb="FFFF0000"/>
        <rFont val="TH SarabunPSK"/>
        <family val="2"/>
      </rPr>
      <t>280</t>
    </r>
    <r>
      <rPr>
        <sz val="11"/>
        <color theme="1"/>
        <rFont val="TH SarabunPSK"/>
        <family val="2"/>
      </rPr>
      <t xml:space="preserve">... 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>C</t>
    </r>
  </si>
  <si>
    <r>
      <t>ค่าตามเกณฑ์...</t>
    </r>
    <r>
      <rPr>
        <sz val="11"/>
        <color rgb="FFFF0000"/>
        <rFont val="TH SarabunPSK"/>
        <family val="2"/>
      </rPr>
      <t>225</t>
    </r>
    <r>
      <rPr>
        <sz val="11"/>
        <color theme="1"/>
        <rFont val="TH SarabunPSK"/>
        <family val="2"/>
      </rPr>
      <t xml:space="preserve">....... 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>C</t>
    </r>
  </si>
  <si>
    <r>
      <t xml:space="preserve">(X+50) 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>C</t>
    </r>
  </si>
  <si>
    <r>
      <t>อุณหภูมิความดันไอน้ำอิ่มตัว....</t>
    </r>
    <r>
      <rPr>
        <sz val="11"/>
        <color rgb="FFFF0000"/>
        <rFont val="TH SarabunPSK"/>
        <family val="2"/>
      </rPr>
      <t>175</t>
    </r>
    <r>
      <rPr>
        <sz val="11"/>
        <color theme="1"/>
        <rFont val="TH SarabunPSK"/>
        <family val="2"/>
      </rPr>
      <t xml:space="preserve">... 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>C  ( X )</t>
    </r>
  </si>
  <si>
    <r>
      <t xml:space="preserve">พื้นผิวหม้อไอน้ำ ท่อส่งไอน้ำมีอุณหภูมิไม่เกิน 50 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 xml:space="preserve">C </t>
    </r>
  </si>
  <si>
    <r>
      <t xml:space="preserve">อุณหภูมิไม่เกิน </t>
    </r>
    <r>
      <rPr>
        <sz val="11"/>
        <color rgb="FFFF0000"/>
        <rFont val="TH SarabunPSK"/>
        <family val="2"/>
      </rPr>
      <t>50</t>
    </r>
    <r>
      <rPr>
        <sz val="11"/>
        <color theme="1"/>
        <rFont val="TH SarabunPSK"/>
        <family val="2"/>
      </rPr>
      <t xml:space="preserve"> 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>C</t>
    </r>
  </si>
  <si>
    <r>
      <t>อุณหภูมิ…</t>
    </r>
    <r>
      <rPr>
        <sz val="11"/>
        <color rgb="FFFF0000"/>
        <rFont val="TH SarabunPSK"/>
        <family val="2"/>
      </rPr>
      <t>80</t>
    </r>
    <r>
      <rPr>
        <sz val="11"/>
        <color theme="1"/>
        <rFont val="TH SarabunPSK"/>
        <family val="2"/>
      </rPr>
      <t xml:space="preserve">… </t>
    </r>
    <r>
      <rPr>
        <vertAlign val="superscript"/>
        <sz val="11"/>
        <color theme="1"/>
        <rFont val="TH SarabunPSK"/>
        <family val="2"/>
      </rPr>
      <t>o</t>
    </r>
    <r>
      <rPr>
        <sz val="11"/>
        <color theme="1"/>
        <rFont val="TH SarabunPSK"/>
        <family val="2"/>
      </rPr>
      <t>C</t>
    </r>
  </si>
  <si>
    <t>จำนวน Steam Trap เสียไม่เกิน 10 % (จำนวนกับดักไอน้ำ)</t>
  </si>
  <si>
    <r>
      <t>จำนวน Steam Trap  ทั้งหมด...</t>
    </r>
    <r>
      <rPr>
        <sz val="11"/>
        <color rgb="FFFF0000"/>
        <rFont val="TH SarabunPSK"/>
        <family val="2"/>
      </rPr>
      <t>.50</t>
    </r>
    <r>
      <rPr>
        <sz val="11"/>
        <color theme="1"/>
        <rFont val="TH SarabunPSK"/>
        <family val="2"/>
      </rPr>
      <t>.......ตัว</t>
    </r>
  </si>
  <si>
    <r>
      <t>จำนวน Steam Trap ที่เสีย .....</t>
    </r>
    <r>
      <rPr>
        <sz val="11"/>
        <color rgb="FFFF0000"/>
        <rFont val="TH SarabunPSK"/>
        <family val="2"/>
      </rPr>
      <t>6</t>
    </r>
    <r>
      <rPr>
        <sz val="11"/>
        <color theme="1"/>
        <rFont val="TH SarabunPSK"/>
        <family val="2"/>
      </rPr>
      <t>......ตัว</t>
    </r>
  </si>
  <si>
    <t>ปริมาณคอนเดนเสท (Condensate) ส่งคืนหม้อไอน้ำสูงกว่า 80 % (ยกเว้น คอนเดนเสทไม่สะอาด)</t>
  </si>
  <si>
    <t>ตรวจสอบทำความสะอาดท่อน้ำ และท่อไฟ</t>
  </si>
  <si>
    <t>ลิตรต่อเดือน</t>
  </si>
  <si>
    <t>บาทต่อลิตร</t>
  </si>
  <si>
    <t>MJ/ลิตร</t>
  </si>
  <si>
    <t>ลิตรต่อปี</t>
  </si>
  <si>
    <t>รวม</t>
  </si>
  <si>
    <t>แบบฟอร์มที่ 8 สรุปปัจจัยที่มีผลต่อประสิทธิภาพระบบไอน้ำ</t>
  </si>
  <si>
    <t xml:space="preserve"> =…8… %</t>
  </si>
  <si>
    <t>ตรวจsight glass</t>
  </si>
  <si>
    <t>Spirax Sarco</t>
  </si>
  <si>
    <t>แบบฟอร์มที่ 7  ใบตรวจสอบ Steam Trap</t>
  </si>
  <si>
    <t xml:space="preserve">kJ/kg </t>
  </si>
  <si>
    <t>ตรวจสอบการทำงานระบบควบคุมความดันไอน้ำ</t>
  </si>
  <si>
    <t>ตรวจสอบการทำงานระบบป้อนน้ำ</t>
  </si>
  <si>
    <t>ถ้าไม่มีการทำงานให้ทำการแก้ไขหรือเปลี่ยน</t>
  </si>
  <si>
    <t>ทำความสะอาดเครื่องแลกเปลี่ยนความร้อนของอุปกรณ์ใช้ไอน้ำ</t>
  </si>
  <si>
    <t>ซ่อมแซมเมื่อพบการรั่วไหล</t>
  </si>
  <si>
    <t>ทำการขูดเขม่าหรือแยงเขม่า</t>
  </si>
  <si>
    <t>แบบฟอร์มที่ 8 การคำนวณความสูญเสียจากกับดักไอน้ำรั่ว</t>
  </si>
  <si>
    <t xml:space="preserve">       LF = อัตราการเปิด-ปิดวาล์ว        </t>
  </si>
  <si>
    <t>ข้อมูลกับดักไอน้ำรั่ว</t>
  </si>
  <si>
    <t>กับดักไอน้ำหมายเลข</t>
  </si>
  <si>
    <t xml:space="preserve">              P              ความดันใช้งานที่กับดักไอน้ำ (บาร์ ความดันสมบูรณ์)</t>
  </si>
  <si>
    <t>LF = อัตราการเปิด-ปิดวาล์ว ที่จ่ายเข้าเครื่องจักร อุปกรณ์ เครื่องแลกเปลี่ยนความร้อน</t>
  </si>
  <si>
    <t>แบบฟอร์มที่ 1 การประมาณต้นทุนไอน้ำ</t>
  </si>
  <si>
    <t>kg/วัน</t>
  </si>
  <si>
    <t>ต้นทุนน้ำดิบป้อนหม้อไอน้ำ (Total Water Cost)</t>
  </si>
  <si>
    <t>TWC = (WxWC+CC)/W</t>
  </si>
  <si>
    <t>ต้นทุนเชื้อเพลิงต่อเดือน (Fuel Cost Per Month)</t>
  </si>
  <si>
    <t>ค่าใชจ่ายสารเคมีในการปรับปรุงคุณภาพน้ำดิบป้อนหม้อไอน้ำ</t>
  </si>
  <si>
    <t>ปริมาณเชื้อเพลิงป้อนหม้อไอน้ำ</t>
  </si>
  <si>
    <t>ปริมาณน้ำป้อนหม้อไอน้ำ</t>
  </si>
  <si>
    <r>
      <t>เอนทาลปีไอน้ำ (จากตารางไอน้ำอิ่มตัว ภาคผนวก 1 ช่อง h</t>
    </r>
    <r>
      <rPr>
        <vertAlign val="subscript"/>
        <sz val="11"/>
        <color theme="1"/>
        <rFont val="Tahoma"/>
        <family val="2"/>
        <scheme val="minor"/>
      </rPr>
      <t>g</t>
    </r>
    <r>
      <rPr>
        <sz val="11"/>
        <color theme="1"/>
        <rFont val="Tahoma"/>
        <family val="2"/>
        <scheme val="minor"/>
      </rPr>
      <t>)</t>
    </r>
  </si>
  <si>
    <r>
      <t>เอนทาลปีน้ำในหม้อไอน้ำ (จากตารางไอน้ำอิ่มตัว ภาคผนวก 1 ช่อง h</t>
    </r>
    <r>
      <rPr>
        <vertAlign val="subscript"/>
        <sz val="11"/>
        <color theme="1"/>
        <rFont val="Tahoma"/>
        <family val="2"/>
        <scheme val="minor"/>
      </rPr>
      <t>l</t>
    </r>
    <r>
      <rPr>
        <sz val="11"/>
        <color theme="1"/>
        <rFont val="Tahoma"/>
        <family val="2"/>
        <scheme val="minor"/>
      </rPr>
      <t>)</t>
    </r>
  </si>
  <si>
    <t>ปริมาณการระบายน้ำ (Blowdown) ที่ความดันบรรยากาศ</t>
  </si>
  <si>
    <t>ไอน้ำแฟลช (Flash Steam) ที่เกิดขึ้นเมื่อระบายน้ำ (Blowdown)</t>
  </si>
  <si>
    <t xml:space="preserve">จำนวนวันทำงานต่อเดือน </t>
  </si>
  <si>
    <t>ต้นทุนไอน้ำทั้งหมด (Total Steam Cost)</t>
  </si>
  <si>
    <t>พลังงานไอน้ำ</t>
  </si>
  <si>
    <t>ปริมาณน้ำระบาย (Blowdown) ที่วัดได้ที่ความดันบรรยากาศ</t>
  </si>
  <si>
    <t>พลังงานที่อยู่ในไอน้ำ (Steam Energy Output)</t>
  </si>
  <si>
    <r>
      <t>ST = W x (h</t>
    </r>
    <r>
      <rPr>
        <vertAlign val="subscript"/>
        <sz val="11"/>
        <color theme="1"/>
        <rFont val="Calibri"/>
        <family val="2"/>
      </rPr>
      <t>g2</t>
    </r>
    <r>
      <rPr>
        <sz val="11"/>
        <color theme="1"/>
        <rFont val="Calibri"/>
        <family val="2"/>
      </rPr>
      <t>-h</t>
    </r>
    <r>
      <rPr>
        <vertAlign val="subscript"/>
        <sz val="11"/>
        <color theme="1"/>
        <rFont val="Calibri"/>
        <family val="2"/>
      </rPr>
      <t>l1</t>
    </r>
    <r>
      <rPr>
        <sz val="11"/>
        <color theme="1"/>
        <rFont val="Calibri"/>
        <family val="2"/>
      </rPr>
      <t xml:space="preserve">)) </t>
    </r>
  </si>
  <si>
    <t>ปริมาณความร้อนของเชื้อเพลิงที่ป้อน (Fuel Used)</t>
  </si>
  <si>
    <t>ประสิทธิภาพหม้อไอน้ำ (Boiler Efficiency)</t>
  </si>
  <si>
    <t>ลิตรต่อวัน</t>
  </si>
  <si>
    <t>MJ/วัน</t>
  </si>
  <si>
    <r>
      <t>LI = LL +</t>
    </r>
    <r>
      <rPr>
        <u/>
        <sz val="11"/>
        <color rgb="FFFF0000"/>
        <rFont val="Calibri"/>
        <family val="2"/>
      </rPr>
      <t xml:space="preserve"> </t>
    </r>
    <r>
      <rPr>
        <sz val="11"/>
        <color rgb="FFFF0000"/>
        <rFont val="Calibri"/>
        <family val="2"/>
      </rPr>
      <t>(LH-LL) x (TI-TL)/(TH-TL)</t>
    </r>
  </si>
  <si>
    <t>FD</t>
  </si>
  <si>
    <t>เชื้อเพลิงที่ประหยัดได้ (Fuel Saving)</t>
  </si>
  <si>
    <t>MC</t>
  </si>
  <si>
    <t>แบบฟอร์มที่ 4 การประเมินการสูญเสียจากออกซิเจนส่วนเกินในไอเสียและอุณหภูมิไอเสีย</t>
  </si>
  <si>
    <r>
      <t>O</t>
    </r>
    <r>
      <rPr>
        <vertAlign val="subscript"/>
        <sz val="11"/>
        <color theme="1"/>
        <rFont val="Tahoma"/>
        <family val="2"/>
        <scheme val="minor"/>
      </rPr>
      <t>Before</t>
    </r>
  </si>
  <si>
    <r>
      <t>T</t>
    </r>
    <r>
      <rPr>
        <vertAlign val="subscript"/>
        <sz val="11"/>
        <color theme="1"/>
        <rFont val="Tahoma"/>
        <family val="2"/>
        <scheme val="minor"/>
      </rPr>
      <t>Before</t>
    </r>
  </si>
  <si>
    <r>
      <t>O</t>
    </r>
    <r>
      <rPr>
        <vertAlign val="subscript"/>
        <sz val="11"/>
        <color theme="1"/>
        <rFont val="Tahoma"/>
        <family val="2"/>
        <scheme val="minor"/>
      </rPr>
      <t>After</t>
    </r>
  </si>
  <si>
    <r>
      <t>T</t>
    </r>
    <r>
      <rPr>
        <vertAlign val="subscript"/>
        <sz val="11"/>
        <color theme="1"/>
        <rFont val="Tahoma"/>
        <family val="2"/>
        <scheme val="minor"/>
      </rPr>
      <t>21</t>
    </r>
  </si>
  <si>
    <r>
      <t>T</t>
    </r>
    <r>
      <rPr>
        <vertAlign val="subscript"/>
        <sz val="11"/>
        <color theme="1"/>
        <rFont val="Tahoma"/>
        <family val="2"/>
        <scheme val="minor"/>
      </rPr>
      <t>22</t>
    </r>
  </si>
  <si>
    <t>แบบฟอร์มที่ 5 การปรับปรุงน้ำระบาย (Blowdown)</t>
  </si>
  <si>
    <r>
      <t>เอนทาลปีน้ำดิบป้อน (จากตารางไอน้ำ ภาคผนวกที่ 1 ช่อง h</t>
    </r>
    <r>
      <rPr>
        <vertAlign val="subscript"/>
        <sz val="11"/>
        <rFont val="Tahoma"/>
        <family val="2"/>
        <scheme val="minor"/>
      </rPr>
      <t>l</t>
    </r>
    <r>
      <rPr>
        <sz val="11"/>
        <rFont val="Tahoma"/>
        <family val="2"/>
        <scheme val="minor"/>
      </rPr>
      <t>)</t>
    </r>
  </si>
  <si>
    <t>อัตราส่วนน้ำระบาย (Total Blowdown Rate)</t>
  </si>
  <si>
    <t>ปริมาณน้ำระบาย (Blowdown) จากหม้อไอน้ำ</t>
  </si>
  <si>
    <t>จำนวนวันทำงานต่อเดือน</t>
  </si>
  <si>
    <t xml:space="preserve">ปริมาณน้ำระบายจากหม้อไอน้ำ (Total Blowdown) </t>
  </si>
  <si>
    <t>ปริมาณน้ำระบายที่สามารถลดลงได้ (TBD Saving )</t>
  </si>
  <si>
    <t>TBDS = TBD1 x [1-(%TBD1/%TBD2)]</t>
  </si>
  <si>
    <t>kg/เดือน</t>
  </si>
  <si>
    <t>ต้นทุนน้ำที่ประหยัดได้ (Total Water Cost Saving)</t>
  </si>
  <si>
    <t>TWCS = [TBDSxTWC /(1,000+C31)]</t>
  </si>
  <si>
    <t>ปริมาณเชื้อเพลิงที่ประหยัดได้ (Fuel Unit Saving)</t>
  </si>
  <si>
    <r>
      <t>FUS = TBDS x (h</t>
    </r>
    <r>
      <rPr>
        <vertAlign val="subscript"/>
        <sz val="11"/>
        <color theme="1"/>
        <rFont val="Tahoma"/>
        <family val="2"/>
        <scheme val="minor"/>
      </rPr>
      <t>l2</t>
    </r>
    <r>
      <rPr>
        <sz val="11"/>
        <color theme="1"/>
        <rFont val="Tahoma"/>
        <family val="2"/>
        <scheme val="minor"/>
      </rPr>
      <t>-h</t>
    </r>
    <r>
      <rPr>
        <vertAlign val="subscript"/>
        <sz val="11"/>
        <color theme="1"/>
        <rFont val="Tahoma"/>
        <family val="2"/>
        <scheme val="minor"/>
      </rPr>
      <t>l1</t>
    </r>
    <r>
      <rPr>
        <sz val="11"/>
        <color theme="1"/>
        <rFont val="Tahoma"/>
        <family val="2"/>
        <scheme val="minor"/>
      </rPr>
      <t>)/(1000 x H x BE)</t>
    </r>
  </si>
  <si>
    <t>ผลประหยัดพลังงานและน้ำ (Total Cost Saving)</t>
  </si>
  <si>
    <t>kW/m/ชั่วโมง</t>
  </si>
  <si>
    <r>
      <t>อุณหภูมิผิวฉนวน กรณีมีการหุ้มฉนวนแล้ว (ถ้าเกิน 50</t>
    </r>
    <r>
      <rPr>
        <vertAlign val="superscript"/>
        <sz val="11"/>
        <color theme="1"/>
        <rFont val="Tahoma"/>
        <family val="2"/>
        <scheme val="minor"/>
      </rPr>
      <t xml:space="preserve"> o</t>
    </r>
    <r>
      <rPr>
        <sz val="11"/>
        <color theme="1"/>
        <rFont val="Tahoma"/>
        <family val="2"/>
        <scheme val="minor"/>
      </rPr>
      <t>C เสื่อมสภาพแล้ว)</t>
    </r>
  </si>
  <si>
    <t xml:space="preserve">ถ้าเป็นกรณีท่อหุ้มฉนวนใช้ค่าอุณภูมิภายนอก และเส้นผ่าศูนย์กลางเฉลี่ย </t>
  </si>
  <si>
    <t>ภายนอกที่หุ้มฉนวน (กรณีฉนวนชำรุด)</t>
  </si>
  <si>
    <t>ความร้อนสูญเสียทั้งหมดก่อนปรับปรุง (Total Heat Loss1)</t>
  </si>
  <si>
    <t>THL1 = HL1 x L x Hr x DY</t>
  </si>
  <si>
    <t>หลังปรับปรุง (เปลี่ยนหรือติดตั้งฉนวน)</t>
  </si>
  <si>
    <t>เลือกความหนาฉนวนจากภาคผนวก 4 ตารางที่ 4-1</t>
  </si>
  <si>
    <t>(ความหนาของฉนวนความร้อนที่เหมาะสมทางเศรษฐศาสตร์ โดยใช้เส้น</t>
  </si>
  <si>
    <t>ผ่านศูนย์กลางท่อ และอุณหภูมิท่อ)</t>
  </si>
  <si>
    <r>
      <t xml:space="preserve">เลือกชนิดฉนวน </t>
    </r>
    <r>
      <rPr>
        <sz val="11"/>
        <color rgb="FFFF0000"/>
        <rFont val="Tahoma"/>
        <family val="2"/>
        <scheme val="minor"/>
      </rPr>
      <t>(อ่านค่าการสูญเสีย ภาคผนวก 4-3 ถึง 4-5)</t>
    </r>
  </si>
  <si>
    <t>ณ อุณหภูมิผิวท่อ</t>
  </si>
  <si>
    <r>
      <t>อุณหภูมิหลังหุ้มฉนวน</t>
    </r>
    <r>
      <rPr>
        <sz val="11"/>
        <color rgb="FFFF0000"/>
        <rFont val="Tahoma"/>
        <family val="2"/>
        <scheme val="minor"/>
      </rPr>
      <t xml:space="preserve"> (ภาคผนวก 4-3 ถึง 4-5)</t>
    </r>
  </si>
  <si>
    <t xml:space="preserve">THS = THL1 - THL2  </t>
  </si>
  <si>
    <t>FS = THS / (HV x BE)</t>
  </si>
  <si>
    <t>THS = THS x 3.6</t>
  </si>
  <si>
    <t>ค่าเชื้อเพลิงที่ประหยัดได้ (Fuel Cost Saving)</t>
  </si>
  <si>
    <t>kg/ชั่วโมง</t>
  </si>
  <si>
    <t>จำนวนชั่วโมงการทำงาน</t>
  </si>
  <si>
    <t>จำนวนวันทำงาน</t>
  </si>
  <si>
    <t>ปริมาณน้ำป้อนหม้อไอน้ำ(ติดตั้งมิเตอร์)</t>
  </si>
  <si>
    <t>ราคาค่าน้ำ</t>
  </si>
  <si>
    <t>ค่าใชจ่ายสารเคมีในการปรับปรุงคุณภาพน้ำป้อนหม้อไอน้ำ</t>
  </si>
  <si>
    <t>ต้นทุนดิบน้ำป้อนหม้อไอน้ำ (Total Water Cost)</t>
  </si>
  <si>
    <t>ปริมาณน้ำคอนเดนเสทนำกลับ (ติดตั้งมิเตอร์)</t>
  </si>
  <si>
    <t>ปริมาณน้ำป้อนหม้อไอน้ำ (ติดตั้งมิเตอร์)</t>
  </si>
  <si>
    <t>พลังงานที่ประหยัดได้</t>
  </si>
  <si>
    <t>ROI = I/TCS</t>
  </si>
  <si>
    <t>MJ/เดือน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</si>
</sst>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_(* #,##0.00_);_(* \(#,##0.00\);_(* &quot;-&quot;??_);_(@_)"/>
    <numFmt numFmtId="188" formatCode="_(* #,##0_);_(* \(#,##0\);_(* &quot;-&quot;??_);_(@_)"/>
    <numFmt numFmtId="189" formatCode="_(* #,##0.0_);_(* \(#,##0.0\);_(* &quot;-&quot;??_);_(@_)"/>
    <numFmt numFmtId="190" formatCode="0.0"/>
    <numFmt numFmtId="191" formatCode="_(* #,##0.0_);_(* \(#,##0.0\);_(* &quot;-&quot;?_);_(@_)"/>
  </numFmts>
  <fonts count="3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0"/>
      <name val="Arial"/>
      <family val="2"/>
    </font>
    <font>
      <b/>
      <sz val="10"/>
      <color indexed="9"/>
      <name val="Arial"/>
      <family val="2"/>
    </font>
    <font>
      <vertAlign val="subscript"/>
      <sz val="11"/>
      <color theme="1"/>
      <name val="Tahoma"/>
      <family val="2"/>
      <scheme val="minor"/>
    </font>
    <font>
      <vertAlign val="superscript"/>
      <sz val="11"/>
      <color theme="1"/>
      <name val="Tahoma"/>
      <family val="2"/>
      <scheme val="minor"/>
    </font>
    <font>
      <sz val="11"/>
      <color theme="1"/>
      <name val="Calibri"/>
      <family val="2"/>
    </font>
    <font>
      <sz val="14"/>
      <color rgb="FFFF0000"/>
      <name val="Cordia New"/>
      <family val="2"/>
    </font>
    <font>
      <u/>
      <sz val="11"/>
      <color rgb="FFFF0000"/>
      <name val="Calibri"/>
      <family val="2"/>
    </font>
    <font>
      <sz val="11"/>
      <color rgb="FFFF0000"/>
      <name val="Calibri"/>
      <family val="2"/>
    </font>
    <font>
      <sz val="11"/>
      <color rgb="FFFF0000"/>
      <name val="Tahoma"/>
      <family val="2"/>
      <scheme val="minor"/>
    </font>
    <font>
      <sz val="11"/>
      <color theme="0"/>
      <name val="Tahoma"/>
      <family val="2"/>
      <scheme val="minor"/>
    </font>
    <font>
      <b/>
      <sz val="18"/>
      <color theme="1"/>
      <name val="Angsana New"/>
      <family val="1"/>
    </font>
    <font>
      <sz val="10"/>
      <color theme="1"/>
      <name val="Tahoma"/>
      <family val="2"/>
      <scheme val="minor"/>
    </font>
    <font>
      <i/>
      <u/>
      <sz val="16"/>
      <color rgb="FFFF0000"/>
      <name val="Cordia New"/>
      <family val="2"/>
    </font>
    <font>
      <sz val="11"/>
      <name val="Tahoma"/>
      <family val="2"/>
      <scheme val="minor"/>
    </font>
    <font>
      <b/>
      <sz val="16"/>
      <color theme="1"/>
      <name val="Angsana New"/>
      <family val="1"/>
    </font>
    <font>
      <sz val="9"/>
      <color theme="1"/>
      <name val="Tahoma"/>
      <family val="2"/>
      <scheme val="minor"/>
    </font>
    <font>
      <vertAlign val="subscript"/>
      <sz val="9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vertAlign val="subscript"/>
      <sz val="8"/>
      <color theme="1"/>
      <name val="Tahoma"/>
      <family val="2"/>
      <scheme val="minor"/>
    </font>
    <font>
      <sz val="8"/>
      <color rgb="FFFF0000"/>
      <name val="Tahoma"/>
      <family val="2"/>
      <scheme val="minor"/>
    </font>
    <font>
      <b/>
      <sz val="11"/>
      <color theme="1"/>
      <name val="TH SarabunPSK"/>
      <family val="2"/>
    </font>
    <font>
      <sz val="11"/>
      <color theme="1"/>
      <name val="TH SarabunPSK"/>
      <family val="2"/>
    </font>
    <font>
      <sz val="11"/>
      <color rgb="FFFF0000"/>
      <name val="TH SarabunPSK"/>
      <family val="2"/>
    </font>
    <font>
      <b/>
      <sz val="20"/>
      <color theme="1"/>
      <name val="Angsana New"/>
      <family val="1"/>
    </font>
    <font>
      <sz val="16"/>
      <color theme="1"/>
      <name val="Angsana New"/>
      <family val="1"/>
    </font>
    <font>
      <sz val="16"/>
      <name val="Angsana New"/>
      <family val="1"/>
    </font>
    <font>
      <b/>
      <sz val="16"/>
      <name val="Arial"/>
      <family val="2"/>
    </font>
    <font>
      <u/>
      <sz val="11"/>
      <color theme="10"/>
      <name val="Tahoma"/>
      <family val="2"/>
    </font>
    <font>
      <b/>
      <sz val="16"/>
      <name val="Angsana New"/>
      <family val="1"/>
    </font>
    <font>
      <vertAlign val="superscript"/>
      <sz val="11"/>
      <color theme="1"/>
      <name val="TH SarabunPSK"/>
      <family val="2"/>
    </font>
    <font>
      <vertAlign val="subscript"/>
      <sz val="11"/>
      <color theme="1"/>
      <name val="Calibri"/>
      <family val="2"/>
    </font>
    <font>
      <vertAlign val="subscript"/>
      <sz val="11"/>
      <name val="Tahoma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</cellStyleXfs>
  <cellXfs count="288">
    <xf numFmtId="0" fontId="0" fillId="0" borderId="0" xfId="0"/>
    <xf numFmtId="188" fontId="0" fillId="3" borderId="1" xfId="1" applyNumberFormat="1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6" borderId="1" xfId="0" applyFill="1" applyBorder="1" applyAlignment="1">
      <alignment horizontal="center"/>
    </xf>
    <xf numFmtId="187" fontId="0" fillId="6" borderId="1" xfId="0" applyNumberFormat="1" applyFill="1" applyBorder="1"/>
    <xf numFmtId="0" fontId="0" fillId="6" borderId="1" xfId="0" applyFill="1" applyBorder="1"/>
    <xf numFmtId="0" fontId="0" fillId="4" borderId="1" xfId="0" applyFill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87" fontId="0" fillId="7" borderId="1" xfId="1" applyFont="1" applyFill="1" applyBorder="1"/>
    <xf numFmtId="0" fontId="6" fillId="7" borderId="1" xfId="0" applyFont="1" applyFill="1" applyBorder="1"/>
    <xf numFmtId="188" fontId="0" fillId="4" borderId="1" xfId="1" applyNumberFormat="1" applyFont="1" applyFill="1" applyBorder="1"/>
    <xf numFmtId="0" fontId="0" fillId="5" borderId="1" xfId="0" applyFill="1" applyBorder="1"/>
    <xf numFmtId="0" fontId="0" fillId="8" borderId="1" xfId="0" applyFill="1" applyBorder="1" applyAlignment="1">
      <alignment horizontal="center"/>
    </xf>
    <xf numFmtId="2" fontId="0" fillId="5" borderId="1" xfId="0" applyNumberFormat="1" applyFill="1" applyBorder="1"/>
    <xf numFmtId="0" fontId="7" fillId="0" borderId="0" xfId="0" applyFont="1"/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9" fillId="10" borderId="1" xfId="0" applyFont="1" applyFill="1" applyBorder="1"/>
    <xf numFmtId="0" fontId="6" fillId="0" borderId="0" xfId="0" applyFont="1"/>
    <xf numFmtId="0" fontId="11" fillId="10" borderId="1" xfId="0" applyFont="1" applyFill="1" applyBorder="1"/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10" fillId="9" borderId="1" xfId="0" applyFont="1" applyFill="1" applyBorder="1"/>
    <xf numFmtId="0" fontId="0" fillId="6" borderId="1" xfId="0" applyFill="1" applyBorder="1" applyAlignment="1">
      <alignment horizontal="left"/>
    </xf>
    <xf numFmtId="190" fontId="0" fillId="6" borderId="1" xfId="0" applyNumberFormat="1" applyFill="1" applyBorder="1"/>
    <xf numFmtId="188" fontId="0" fillId="9" borderId="1" xfId="1" applyNumberFormat="1" applyFont="1" applyFill="1" applyBorder="1"/>
    <xf numFmtId="188" fontId="0" fillId="11" borderId="1" xfId="1" applyNumberFormat="1" applyFont="1" applyFill="1" applyBorder="1"/>
    <xf numFmtId="188" fontId="0" fillId="11" borderId="1" xfId="0" applyNumberFormat="1" applyFill="1" applyBorder="1"/>
    <xf numFmtId="3" fontId="0" fillId="9" borderId="1" xfId="0" applyNumberFormat="1" applyFill="1" applyBorder="1"/>
    <xf numFmtId="187" fontId="0" fillId="11" borderId="1" xfId="0" applyNumberFormat="1" applyFill="1" applyBorder="1"/>
    <xf numFmtId="0" fontId="0" fillId="12" borderId="1" xfId="0" applyFill="1" applyBorder="1" applyAlignment="1">
      <alignment horizontal="center"/>
    </xf>
    <xf numFmtId="187" fontId="0" fillId="13" borderId="1" xfId="1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2" borderId="1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left" shrinkToFit="1"/>
    </xf>
    <xf numFmtId="0" fontId="0" fillId="0" borderId="0" xfId="0" applyFill="1"/>
    <xf numFmtId="187" fontId="0" fillId="0" borderId="0" xfId="1" applyFont="1"/>
    <xf numFmtId="0" fontId="0" fillId="4" borderId="1" xfId="0" applyFill="1" applyBorder="1" applyAlignment="1">
      <alignment horizontal="center" shrinkToFit="1"/>
    </xf>
    <xf numFmtId="187" fontId="0" fillId="4" borderId="1" xfId="1" applyFont="1" applyFill="1" applyBorder="1" applyAlignment="1">
      <alignment horizontal="center" shrinkToFit="1"/>
    </xf>
    <xf numFmtId="187" fontId="0" fillId="9" borderId="1" xfId="1" applyFont="1" applyFill="1" applyBorder="1"/>
    <xf numFmtId="0" fontId="10" fillId="0" borderId="0" xfId="0" applyFont="1"/>
    <xf numFmtId="187" fontId="0" fillId="0" borderId="0" xfId="1" applyFont="1" applyAlignment="1">
      <alignment horizontal="center"/>
    </xf>
    <xf numFmtId="0" fontId="10" fillId="0" borderId="1" xfId="0" applyFont="1" applyFill="1" applyBorder="1" applyAlignment="1">
      <alignment horizontal="left" shrinkToFit="1"/>
    </xf>
    <xf numFmtId="187" fontId="0" fillId="4" borderId="1" xfId="1" applyNumberFormat="1" applyFont="1" applyFill="1" applyBorder="1" applyAlignment="1">
      <alignment horizontal="center" shrinkToFit="1"/>
    </xf>
    <xf numFmtId="0" fontId="13" fillId="4" borderId="1" xfId="0" applyFont="1" applyFill="1" applyBorder="1" applyAlignment="1">
      <alignment horizontal="left" shrinkToFit="1"/>
    </xf>
    <xf numFmtId="187" fontId="0" fillId="6" borderId="1" xfId="1" applyFont="1" applyFill="1" applyBorder="1"/>
    <xf numFmtId="187" fontId="0" fillId="0" borderId="0" xfId="0" applyNumberFormat="1"/>
    <xf numFmtId="188" fontId="0" fillId="9" borderId="1" xfId="0" applyNumberFormat="1" applyFill="1" applyBorder="1"/>
    <xf numFmtId="0" fontId="15" fillId="9" borderId="1" xfId="0" applyFont="1" applyFill="1" applyBorder="1"/>
    <xf numFmtId="9" fontId="0" fillId="6" borderId="1" xfId="2" applyFont="1" applyFill="1" applyBorder="1"/>
    <xf numFmtId="0" fontId="0" fillId="14" borderId="1" xfId="0" applyFill="1" applyBorder="1" applyAlignment="1">
      <alignment horizontal="center"/>
    </xf>
    <xf numFmtId="0" fontId="0" fillId="14" borderId="1" xfId="0" applyFill="1" applyBorder="1"/>
    <xf numFmtId="187" fontId="0" fillId="14" borderId="1" xfId="1" applyFont="1" applyFill="1" applyBorder="1"/>
    <xf numFmtId="0" fontId="0" fillId="15" borderId="1" xfId="0" applyFill="1" applyBorder="1"/>
    <xf numFmtId="10" fontId="0" fillId="9" borderId="1" xfId="2" applyNumberFormat="1" applyFont="1" applyFill="1" applyBorder="1" applyAlignment="1">
      <alignment horizontal="right"/>
    </xf>
    <xf numFmtId="188" fontId="0" fillId="9" borderId="1" xfId="1" applyNumberFormat="1" applyFont="1" applyFill="1" applyBorder="1" applyAlignment="1">
      <alignment horizontal="right"/>
    </xf>
    <xf numFmtId="187" fontId="0" fillId="9" borderId="1" xfId="1" applyFont="1" applyFill="1" applyBorder="1" applyAlignment="1">
      <alignment horizontal="right"/>
    </xf>
    <xf numFmtId="0" fontId="0" fillId="9" borderId="1" xfId="0" applyFill="1" applyBorder="1" applyAlignment="1">
      <alignment horizontal="left" vertical="center"/>
    </xf>
    <xf numFmtId="188" fontId="0" fillId="16" borderId="1" xfId="0" applyNumberFormat="1" applyFill="1" applyBorder="1" applyAlignment="1">
      <alignment horizontal="right"/>
    </xf>
    <xf numFmtId="0" fontId="0" fillId="16" borderId="1" xfId="0" applyFill="1" applyBorder="1"/>
    <xf numFmtId="0" fontId="0" fillId="0" borderId="1" xfId="0" applyBorder="1" applyAlignment="1">
      <alignment horizontal="left"/>
    </xf>
    <xf numFmtId="0" fontId="17" fillId="9" borderId="1" xfId="0" applyFont="1" applyFill="1" applyBorder="1" applyAlignment="1">
      <alignment horizontal="center" wrapText="1"/>
    </xf>
    <xf numFmtId="0" fontId="17" fillId="9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12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17" borderId="6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188" fontId="1" fillId="6" borderId="1" xfId="1" applyNumberFormat="1" applyFont="1" applyFill="1" applyBorder="1"/>
    <xf numFmtId="0" fontId="17" fillId="6" borderId="1" xfId="0" applyFont="1" applyFill="1" applyBorder="1"/>
    <xf numFmtId="0" fontId="0" fillId="6" borderId="3" xfId="0" applyFill="1" applyBorder="1" applyAlignment="1">
      <alignment horizontal="left"/>
    </xf>
    <xf numFmtId="0" fontId="0" fillId="6" borderId="7" xfId="0" applyFill="1" applyBorder="1" applyAlignment="1">
      <alignment horizontal="center"/>
    </xf>
    <xf numFmtId="0" fontId="0" fillId="18" borderId="3" xfId="0" applyFill="1" applyBorder="1" applyAlignment="1">
      <alignment horizontal="left"/>
    </xf>
    <xf numFmtId="0" fontId="0" fillId="18" borderId="6" xfId="0" applyFill="1" applyBorder="1" applyAlignment="1">
      <alignment horizontal="center"/>
    </xf>
    <xf numFmtId="191" fontId="0" fillId="0" borderId="0" xfId="0" applyNumberFormat="1" applyAlignment="1">
      <alignment horizontal="center"/>
    </xf>
    <xf numFmtId="188" fontId="0" fillId="0" borderId="0" xfId="0" applyNumberFormat="1" applyAlignment="1">
      <alignment horizontal="left"/>
    </xf>
    <xf numFmtId="0" fontId="0" fillId="19" borderId="1" xfId="0" applyFill="1" applyBorder="1" applyAlignment="1">
      <alignment horizontal="left" shrinkToFit="1"/>
    </xf>
    <xf numFmtId="0" fontId="0" fillId="19" borderId="1" xfId="0" applyFill="1" applyBorder="1"/>
    <xf numFmtId="0" fontId="0" fillId="4" borderId="1" xfId="0" applyFill="1" applyBorder="1" applyAlignment="1">
      <alignment horizontal="center"/>
    </xf>
    <xf numFmtId="0" fontId="3" fillId="19" borderId="1" xfId="0" applyFont="1" applyFill="1" applyBorder="1"/>
    <xf numFmtId="0" fontId="0" fillId="18" borderId="0" xfId="0" applyFill="1"/>
    <xf numFmtId="0" fontId="0" fillId="18" borderId="1" xfId="0" applyFill="1" applyBorder="1"/>
    <xf numFmtId="0" fontId="0" fillId="18" borderId="3" xfId="0" applyFill="1" applyBorder="1" applyAlignment="1">
      <alignment horizontal="left" vertical="center"/>
    </xf>
    <xf numFmtId="10" fontId="0" fillId="9" borderId="1" xfId="1" applyNumberFormat="1" applyFont="1" applyFill="1" applyBorder="1" applyAlignment="1">
      <alignment horizontal="center"/>
    </xf>
    <xf numFmtId="0" fontId="0" fillId="18" borderId="1" xfId="0" applyFill="1" applyBorder="1" applyAlignment="1">
      <alignment horizontal="left" vertical="center"/>
    </xf>
    <xf numFmtId="0" fontId="0" fillId="18" borderId="0" xfId="0" applyFill="1" applyAlignment="1">
      <alignment horizontal="left"/>
    </xf>
    <xf numFmtId="0" fontId="19" fillId="9" borderId="1" xfId="0" applyFont="1" applyFill="1" applyBorder="1" applyAlignment="1">
      <alignment horizontal="center" wrapText="1"/>
    </xf>
    <xf numFmtId="0" fontId="17" fillId="17" borderId="1" xfId="0" applyFont="1" applyFill="1" applyBorder="1" applyAlignment="1">
      <alignment horizontal="center" wrapText="1"/>
    </xf>
    <xf numFmtId="0" fontId="17" fillId="17" borderId="1" xfId="0" applyFont="1" applyFill="1" applyBorder="1" applyAlignment="1">
      <alignment horizontal="center"/>
    </xf>
    <xf numFmtId="0" fontId="19" fillId="17" borderId="1" xfId="0" applyFont="1" applyFill="1" applyBorder="1" applyAlignment="1">
      <alignment horizontal="center" wrapText="1"/>
    </xf>
    <xf numFmtId="2" fontId="17" fillId="17" borderId="1" xfId="0" applyNumberFormat="1" applyFont="1" applyFill="1" applyBorder="1"/>
    <xf numFmtId="0" fontId="17" fillId="17" borderId="1" xfId="0" applyFont="1" applyFill="1" applyBorder="1"/>
    <xf numFmtId="0" fontId="17" fillId="17" borderId="5" xfId="0" applyFont="1" applyFill="1" applyBorder="1"/>
    <xf numFmtId="187" fontId="0" fillId="11" borderId="1" xfId="1" applyFont="1" applyFill="1" applyBorder="1"/>
    <xf numFmtId="2" fontId="0" fillId="6" borderId="1" xfId="0" applyNumberFormat="1" applyFill="1" applyBorder="1" applyAlignment="1">
      <alignment horizontal="right"/>
    </xf>
    <xf numFmtId="0" fontId="0" fillId="18" borderId="8" xfId="0" applyFill="1" applyBorder="1" applyAlignment="1">
      <alignment horizontal="left"/>
    </xf>
    <xf numFmtId="0" fontId="0" fillId="6" borderId="3" xfId="0" applyFill="1" applyBorder="1"/>
    <xf numFmtId="0" fontId="0" fillId="14" borderId="6" xfId="0" applyFill="1" applyBorder="1" applyAlignment="1">
      <alignment horizontal="center"/>
    </xf>
    <xf numFmtId="0" fontId="21" fillId="0" borderId="1" xfId="0" applyFont="1" applyBorder="1"/>
    <xf numFmtId="0" fontId="0" fillId="17" borderId="3" xfId="0" applyFill="1" applyBorder="1" applyAlignment="1">
      <alignment horizontal="left"/>
    </xf>
    <xf numFmtId="0" fontId="0" fillId="17" borderId="14" xfId="0" applyFill="1" applyBorder="1" applyAlignment="1">
      <alignment horizontal="left"/>
    </xf>
    <xf numFmtId="0" fontId="0" fillId="17" borderId="12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4" borderId="12" xfId="0" applyFill="1" applyBorder="1" applyAlignment="1">
      <alignment horizontal="center"/>
    </xf>
    <xf numFmtId="0" fontId="0" fillId="18" borderId="10" xfId="0" applyFill="1" applyBorder="1" applyAlignment="1">
      <alignment horizontal="center"/>
    </xf>
    <xf numFmtId="0" fontId="0" fillId="20" borderId="1" xfId="0" applyFill="1" applyBorder="1"/>
    <xf numFmtId="0" fontId="0" fillId="20" borderId="6" xfId="0" applyFill="1" applyBorder="1" applyAlignment="1">
      <alignment horizontal="center"/>
    </xf>
    <xf numFmtId="0" fontId="22" fillId="21" borderId="18" xfId="0" applyFont="1" applyFill="1" applyBorder="1" applyAlignment="1">
      <alignment horizontal="center" vertical="top" wrapText="1"/>
    </xf>
    <xf numFmtId="0" fontId="22" fillId="21" borderId="19" xfId="0" applyFont="1" applyFill="1" applyBorder="1" applyAlignment="1">
      <alignment horizontal="center" vertical="top" wrapText="1"/>
    </xf>
    <xf numFmtId="0" fontId="26" fillId="0" borderId="0" xfId="0" applyFont="1"/>
    <xf numFmtId="0" fontId="26" fillId="0" borderId="17" xfId="0" applyFont="1" applyBorder="1" applyAlignment="1">
      <alignment horizontal="center" vertical="top" wrapText="1"/>
    </xf>
    <xf numFmtId="0" fontId="26" fillId="0" borderId="19" xfId="0" applyFont="1" applyBorder="1" applyAlignment="1">
      <alignment vertical="top" wrapText="1"/>
    </xf>
    <xf numFmtId="0" fontId="26" fillId="0" borderId="19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21" xfId="0" applyFont="1" applyBorder="1" applyAlignment="1">
      <alignment vertical="top" wrapText="1"/>
    </xf>
    <xf numFmtId="0" fontId="27" fillId="0" borderId="22" xfId="0" applyFont="1" applyBorder="1"/>
    <xf numFmtId="0" fontId="26" fillId="0" borderId="22" xfId="0" applyFont="1" applyBorder="1" applyAlignment="1">
      <alignment vertical="top" wrapText="1"/>
    </xf>
    <xf numFmtId="0" fontId="0" fillId="5" borderId="0" xfId="0" applyFill="1" applyAlignment="1">
      <alignment horizontal="left"/>
    </xf>
    <xf numFmtId="0" fontId="28" fillId="5" borderId="0" xfId="0" applyFont="1" applyFill="1" applyAlignment="1">
      <alignment horizontal="center"/>
    </xf>
    <xf numFmtId="0" fontId="0" fillId="5" borderId="0" xfId="0" applyFill="1"/>
    <xf numFmtId="0" fontId="28" fillId="18" borderId="0" xfId="0" applyFont="1" applyFill="1" applyAlignment="1">
      <alignment horizontal="center"/>
    </xf>
    <xf numFmtId="0" fontId="0" fillId="23" borderId="0" xfId="0" applyFill="1"/>
    <xf numFmtId="0" fontId="0" fillId="23" borderId="0" xfId="0" applyFill="1" applyAlignment="1">
      <alignment horizontal="left"/>
    </xf>
    <xf numFmtId="0" fontId="0" fillId="23" borderId="0" xfId="0" applyFill="1" applyAlignment="1">
      <alignment horizontal="center"/>
    </xf>
    <xf numFmtId="0" fontId="0" fillId="12" borderId="0" xfId="0" applyFill="1" applyAlignment="1">
      <alignment horizontal="left"/>
    </xf>
    <xf numFmtId="0" fontId="0" fillId="12" borderId="0" xfId="0" applyFill="1" applyAlignment="1">
      <alignment horizontal="center"/>
    </xf>
    <xf numFmtId="0" fontId="0" fillId="12" borderId="0" xfId="0" applyFill="1"/>
    <xf numFmtId="0" fontId="0" fillId="25" borderId="0" xfId="0" applyFill="1"/>
    <xf numFmtId="0" fontId="0" fillId="25" borderId="0" xfId="0" applyFill="1" applyAlignment="1">
      <alignment horizontal="center"/>
    </xf>
    <xf numFmtId="0" fontId="0" fillId="18" borderId="1" xfId="0" applyFill="1" applyBorder="1" applyAlignment="1">
      <alignment horizontal="center"/>
    </xf>
    <xf numFmtId="0" fontId="0" fillId="25" borderId="13" xfId="0" applyFill="1" applyBorder="1"/>
    <xf numFmtId="0" fontId="0" fillId="9" borderId="9" xfId="0" applyFill="1" applyBorder="1"/>
    <xf numFmtId="0" fontId="0" fillId="9" borderId="10" xfId="0" applyFill="1" applyBorder="1"/>
    <xf numFmtId="0" fontId="0" fillId="9" borderId="12" xfId="0" applyFill="1" applyBorder="1" applyAlignment="1">
      <alignment horizontal="center"/>
    </xf>
    <xf numFmtId="0" fontId="0" fillId="25" borderId="3" xfId="0" applyFill="1" applyBorder="1"/>
    <xf numFmtId="0" fontId="0" fillId="25" borderId="7" xfId="0" applyFill="1" applyBorder="1"/>
    <xf numFmtId="0" fontId="0" fillId="25" borderId="7" xfId="0" applyFill="1" applyBorder="1" applyAlignment="1">
      <alignment horizontal="center"/>
    </xf>
    <xf numFmtId="0" fontId="0" fillId="25" borderId="6" xfId="0" applyFill="1" applyBorder="1" applyAlignment="1">
      <alignment horizontal="center"/>
    </xf>
    <xf numFmtId="0" fontId="0" fillId="25" borderId="8" xfId="0" applyFill="1" applyBorder="1"/>
    <xf numFmtId="187" fontId="0" fillId="25" borderId="9" xfId="1" applyFont="1" applyFill="1" applyBorder="1"/>
    <xf numFmtId="0" fontId="0" fillId="25" borderId="10" xfId="0" applyFill="1" applyBorder="1" applyAlignment="1">
      <alignment horizontal="center"/>
    </xf>
    <xf numFmtId="0" fontId="0" fillId="25" borderId="12" xfId="0" applyFill="1" applyBorder="1"/>
    <xf numFmtId="0" fontId="13" fillId="25" borderId="3" xfId="0" applyFont="1" applyFill="1" applyBorder="1" applyAlignment="1">
      <alignment horizontal="left" shrinkToFit="1"/>
    </xf>
    <xf numFmtId="0" fontId="0" fillId="25" borderId="0" xfId="0" applyFill="1" applyBorder="1" applyAlignment="1">
      <alignment horizontal="center" shrinkToFit="1"/>
    </xf>
    <xf numFmtId="187" fontId="0" fillId="25" borderId="0" xfId="1" applyFont="1" applyFill="1" applyBorder="1" applyAlignment="1">
      <alignment horizontal="center" shrinkToFit="1"/>
    </xf>
    <xf numFmtId="0" fontId="0" fillId="25" borderId="0" xfId="0" applyFill="1" applyBorder="1" applyAlignment="1">
      <alignment horizontal="center"/>
    </xf>
    <xf numFmtId="0" fontId="0" fillId="25" borderId="11" xfId="0" applyFill="1" applyBorder="1" applyAlignment="1">
      <alignment horizontal="center"/>
    </xf>
    <xf numFmtId="0" fontId="0" fillId="25" borderId="12" xfId="0" applyFill="1" applyBorder="1" applyAlignment="1">
      <alignment horizontal="center"/>
    </xf>
    <xf numFmtId="0" fontId="0" fillId="0" borderId="4" xfId="0" applyBorder="1"/>
    <xf numFmtId="0" fontId="0" fillId="25" borderId="0" xfId="0" applyFill="1" applyBorder="1"/>
    <xf numFmtId="187" fontId="0" fillId="25" borderId="7" xfId="1" applyFont="1" applyFill="1" applyBorder="1"/>
    <xf numFmtId="0" fontId="0" fillId="25" borderId="9" xfId="0" applyFill="1" applyBorder="1" applyAlignment="1">
      <alignment horizontal="center"/>
    </xf>
    <xf numFmtId="189" fontId="0" fillId="9" borderId="1" xfId="1" applyNumberFormat="1" applyFont="1" applyFill="1" applyBorder="1"/>
    <xf numFmtId="0" fontId="0" fillId="9" borderId="0" xfId="0" applyFill="1" applyBorder="1" applyAlignment="1">
      <alignment horizontal="center"/>
    </xf>
    <xf numFmtId="0" fontId="0" fillId="25" borderId="6" xfId="0" applyFill="1" applyBorder="1"/>
    <xf numFmtId="188" fontId="0" fillId="25" borderId="9" xfId="0" applyNumberFormat="1" applyFill="1" applyBorder="1"/>
    <xf numFmtId="0" fontId="0" fillId="25" borderId="14" xfId="0" applyFill="1" applyBorder="1"/>
    <xf numFmtId="187" fontId="0" fillId="25" borderId="15" xfId="1" applyFont="1" applyFill="1" applyBorder="1"/>
    <xf numFmtId="0" fontId="0" fillId="25" borderId="15" xfId="0" applyFill="1" applyBorder="1"/>
    <xf numFmtId="0" fontId="0" fillId="25" borderId="2" xfId="0" applyFill="1" applyBorder="1"/>
    <xf numFmtId="187" fontId="0" fillId="25" borderId="0" xfId="1" applyFont="1" applyFill="1" applyBorder="1"/>
    <xf numFmtId="0" fontId="0" fillId="25" borderId="11" xfId="0" applyFill="1" applyBorder="1"/>
    <xf numFmtId="0" fontId="0" fillId="25" borderId="3" xfId="0" applyFill="1" applyBorder="1" applyAlignment="1">
      <alignment horizontal="left" shrinkToFit="1"/>
    </xf>
    <xf numFmtId="0" fontId="0" fillId="26" borderId="1" xfId="0" applyFill="1" applyBorder="1" applyAlignment="1">
      <alignment horizontal="center"/>
    </xf>
    <xf numFmtId="0" fontId="2" fillId="2" borderId="1" xfId="0" applyFont="1" applyFill="1" applyBorder="1"/>
    <xf numFmtId="0" fontId="0" fillId="27" borderId="1" xfId="0" applyFill="1" applyBorder="1"/>
    <xf numFmtId="0" fontId="0" fillId="28" borderId="1" xfId="0" applyFill="1" applyBorder="1"/>
    <xf numFmtId="0" fontId="0" fillId="5" borderId="1" xfId="0" applyFill="1" applyBorder="1" applyAlignment="1">
      <alignment horizontal="center"/>
    </xf>
    <xf numFmtId="0" fontId="0" fillId="8" borderId="1" xfId="0" applyFill="1" applyBorder="1"/>
    <xf numFmtId="0" fontId="0" fillId="26" borderId="1" xfId="0" applyFill="1" applyBorder="1"/>
    <xf numFmtId="0" fontId="0" fillId="25" borderId="3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9" borderId="1" xfId="0" applyFill="1" applyBorder="1" applyAlignment="1">
      <alignment vertical="center"/>
    </xf>
    <xf numFmtId="0" fontId="0" fillId="9" borderId="1" xfId="0" applyFill="1" applyBorder="1" applyAlignment="1">
      <alignment horizontal="center" vertical="center"/>
    </xf>
    <xf numFmtId="0" fontId="0" fillId="28" borderId="1" xfId="0" applyFill="1" applyBorder="1" applyAlignment="1">
      <alignment horizontal="center"/>
    </xf>
    <xf numFmtId="0" fontId="0" fillId="25" borderId="9" xfId="0" applyFill="1" applyBorder="1"/>
    <xf numFmtId="0" fontId="0" fillId="25" borderId="14" xfId="0" applyFill="1" applyBorder="1" applyAlignment="1">
      <alignment horizontal="center"/>
    </xf>
    <xf numFmtId="0" fontId="0" fillId="25" borderId="15" xfId="0" applyFill="1" applyBorder="1" applyAlignment="1">
      <alignment horizontal="center"/>
    </xf>
    <xf numFmtId="0" fontId="0" fillId="25" borderId="10" xfId="0" applyFill="1" applyBorder="1"/>
    <xf numFmtId="0" fontId="0" fillId="25" borderId="3" xfId="0" applyFill="1" applyBorder="1" applyAlignment="1">
      <alignment horizontal="left" vertical="center"/>
    </xf>
    <xf numFmtId="0" fontId="0" fillId="25" borderId="5" xfId="0" applyFill="1" applyBorder="1" applyAlignment="1">
      <alignment horizontal="center"/>
    </xf>
    <xf numFmtId="0" fontId="15" fillId="9" borderId="1" xfId="0" applyFont="1" applyFill="1" applyBorder="1" applyAlignment="1">
      <alignment horizontal="center"/>
    </xf>
    <xf numFmtId="0" fontId="14" fillId="0" borderId="2" xfId="0" applyFont="1" applyBorder="1"/>
    <xf numFmtId="187" fontId="0" fillId="25" borderId="2" xfId="1" applyFont="1" applyFill="1" applyBorder="1"/>
    <xf numFmtId="187" fontId="0" fillId="25" borderId="0" xfId="0" applyNumberFormat="1" applyFill="1" applyBorder="1"/>
    <xf numFmtId="0" fontId="0" fillId="9" borderId="4" xfId="0" applyFill="1" applyBorder="1"/>
    <xf numFmtId="0" fontId="0" fillId="25" borderId="0" xfId="0" applyFill="1" applyBorder="1" applyAlignment="1">
      <alignment horizontal="left" vertical="center"/>
    </xf>
    <xf numFmtId="188" fontId="0" fillId="25" borderId="0" xfId="1" applyNumberFormat="1" applyFont="1" applyFill="1" applyBorder="1" applyAlignment="1">
      <alignment horizontal="center"/>
    </xf>
    <xf numFmtId="0" fontId="0" fillId="27" borderId="1" xfId="0" applyFill="1" applyBorder="1" applyAlignment="1">
      <alignment horizontal="center"/>
    </xf>
    <xf numFmtId="187" fontId="0" fillId="28" borderId="1" xfId="0" applyNumberFormat="1" applyFill="1" applyBorder="1"/>
    <xf numFmtId="0" fontId="0" fillId="25" borderId="2" xfId="0" applyFill="1" applyBorder="1" applyAlignment="1">
      <alignment horizontal="left" vertical="center"/>
    </xf>
    <xf numFmtId="188" fontId="0" fillId="25" borderId="11" xfId="1" applyNumberFormat="1" applyFont="1" applyFill="1" applyBorder="1" applyAlignment="1">
      <alignment horizontal="center"/>
    </xf>
    <xf numFmtId="0" fontId="0" fillId="9" borderId="3" xfId="0" applyFill="1" applyBorder="1" applyAlignment="1">
      <alignment horizontal="left" vertical="center"/>
    </xf>
    <xf numFmtId="0" fontId="0" fillId="25" borderId="2" xfId="0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188" fontId="0" fillId="6" borderId="1" xfId="0" applyNumberFormat="1" applyFill="1" applyBorder="1" applyAlignment="1">
      <alignment horizontal="center"/>
    </xf>
    <xf numFmtId="0" fontId="0" fillId="9" borderId="3" xfId="0" applyFill="1" applyBorder="1"/>
    <xf numFmtId="0" fontId="0" fillId="9" borderId="11" xfId="0" applyFill="1" applyBorder="1" applyAlignment="1">
      <alignment horizontal="center"/>
    </xf>
    <xf numFmtId="0" fontId="0" fillId="14" borderId="3" xfId="0" applyFill="1" applyBorder="1"/>
    <xf numFmtId="0" fontId="0" fillId="9" borderId="1" xfId="0" applyFill="1" applyBorder="1" applyAlignment="1">
      <alignment horizontal="center" shrinkToFit="1"/>
    </xf>
    <xf numFmtId="187" fontId="0" fillId="27" borderId="1" xfId="1" applyFont="1" applyFill="1" applyBorder="1" applyAlignment="1">
      <alignment horizontal="right" shrinkToFit="1"/>
    </xf>
    <xf numFmtId="187" fontId="0" fillId="27" borderId="1" xfId="1" applyNumberFormat="1" applyFont="1" applyFill="1" applyBorder="1" applyAlignment="1">
      <alignment horizontal="center" shrinkToFit="1"/>
    </xf>
    <xf numFmtId="187" fontId="0" fillId="27" borderId="1" xfId="1" applyFont="1" applyFill="1" applyBorder="1" applyAlignment="1">
      <alignment horizontal="center" shrinkToFit="1"/>
    </xf>
    <xf numFmtId="188" fontId="0" fillId="27" borderId="1" xfId="0" applyNumberFormat="1" applyFill="1" applyBorder="1" applyAlignment="1">
      <alignment horizontal="center"/>
    </xf>
    <xf numFmtId="9" fontId="0" fillId="27" borderId="1" xfId="2" applyFont="1" applyFill="1" applyBorder="1" applyAlignment="1">
      <alignment horizontal="right" shrinkToFit="1"/>
    </xf>
    <xf numFmtId="0" fontId="0" fillId="27" borderId="1" xfId="0" applyFill="1" applyBorder="1" applyAlignment="1">
      <alignment horizontal="center" shrinkToFit="1"/>
    </xf>
    <xf numFmtId="0" fontId="0" fillId="27" borderId="3" xfId="0" applyFill="1" applyBorder="1" applyAlignment="1">
      <alignment horizontal="left"/>
    </xf>
    <xf numFmtId="0" fontId="0" fillId="27" borderId="6" xfId="0" applyFill="1" applyBorder="1" applyAlignment="1">
      <alignment horizontal="center"/>
    </xf>
    <xf numFmtId="0" fontId="0" fillId="27" borderId="1" xfId="0" applyFont="1" applyFill="1" applyBorder="1"/>
    <xf numFmtId="0" fontId="23" fillId="25" borderId="21" xfId="0" applyFont="1" applyFill="1" applyBorder="1" applyAlignment="1">
      <alignment horizontal="center" vertical="top" wrapText="1"/>
    </xf>
    <xf numFmtId="0" fontId="0" fillId="25" borderId="19" xfId="0" applyFill="1" applyBorder="1" applyAlignment="1">
      <alignment vertical="top" wrapText="1"/>
    </xf>
    <xf numFmtId="0" fontId="23" fillId="25" borderId="17" xfId="0" applyFont="1" applyFill="1" applyBorder="1" applyAlignment="1">
      <alignment horizontal="center" vertical="top" wrapText="1"/>
    </xf>
    <xf numFmtId="0" fontId="23" fillId="25" borderId="19" xfId="0" applyFont="1" applyFill="1" applyBorder="1" applyAlignment="1">
      <alignment horizontal="center" vertical="top" wrapText="1"/>
    </xf>
    <xf numFmtId="0" fontId="0" fillId="25" borderId="21" xfId="0" applyFill="1" applyBorder="1" applyAlignment="1">
      <alignment vertical="top" wrapText="1"/>
    </xf>
    <xf numFmtId="0" fontId="23" fillId="25" borderId="21" xfId="0" applyFont="1" applyFill="1" applyBorder="1" applyAlignment="1">
      <alignment vertical="top" wrapText="1"/>
    </xf>
    <xf numFmtId="0" fontId="23" fillId="25" borderId="19" xfId="0" applyFont="1" applyFill="1" applyBorder="1" applyAlignment="1">
      <alignment vertical="top" wrapText="1"/>
    </xf>
    <xf numFmtId="0" fontId="0" fillId="25" borderId="1" xfId="0" applyFill="1" applyBorder="1"/>
    <xf numFmtId="188" fontId="0" fillId="25" borderId="6" xfId="1" applyNumberFormat="1" applyFont="1" applyFill="1" applyBorder="1" applyAlignment="1">
      <alignment horizontal="center"/>
    </xf>
    <xf numFmtId="0" fontId="0" fillId="25" borderId="8" xfId="0" applyFill="1" applyBorder="1" applyAlignment="1">
      <alignment horizontal="left" vertical="center"/>
    </xf>
    <xf numFmtId="188" fontId="0" fillId="25" borderId="10" xfId="1" applyNumberFormat="1" applyFont="1" applyFill="1" applyBorder="1" applyAlignment="1">
      <alignment horizontal="center"/>
    </xf>
    <xf numFmtId="0" fontId="13" fillId="25" borderId="1" xfId="0" applyFont="1" applyFill="1" applyBorder="1" applyAlignment="1">
      <alignment horizontal="center"/>
    </xf>
    <xf numFmtId="0" fontId="17" fillId="25" borderId="1" xfId="0" applyFont="1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25" borderId="1" xfId="0" applyFill="1" applyBorder="1" applyAlignment="1">
      <alignment horizontal="left"/>
    </xf>
    <xf numFmtId="0" fontId="17" fillId="25" borderId="1" xfId="0" applyFont="1" applyFill="1" applyBorder="1"/>
    <xf numFmtId="9" fontId="17" fillId="25" borderId="1" xfId="0" applyNumberFormat="1" applyFont="1" applyFill="1" applyBorder="1" applyAlignment="1">
      <alignment horizontal="center"/>
    </xf>
    <xf numFmtId="187" fontId="17" fillId="25" borderId="1" xfId="1" applyFont="1" applyFill="1" applyBorder="1" applyAlignment="1">
      <alignment horizontal="center"/>
    </xf>
    <xf numFmtId="187" fontId="17" fillId="25" borderId="1" xfId="0" applyNumberFormat="1" applyFont="1" applyFill="1" applyBorder="1" applyAlignment="1">
      <alignment horizontal="center"/>
    </xf>
    <xf numFmtId="0" fontId="17" fillId="25" borderId="5" xfId="0" applyFont="1" applyFill="1" applyBorder="1" applyAlignment="1">
      <alignment horizontal="center"/>
    </xf>
    <xf numFmtId="0" fontId="0" fillId="25" borderId="8" xfId="0" applyFill="1" applyBorder="1" applyAlignment="1">
      <alignment horizontal="center"/>
    </xf>
    <xf numFmtId="10" fontId="0" fillId="9" borderId="1" xfId="2" applyNumberFormat="1" applyFont="1" applyFill="1" applyBorder="1" applyAlignment="1">
      <alignment horizontal="center"/>
    </xf>
    <xf numFmtId="187" fontId="0" fillId="9" borderId="1" xfId="1" applyFont="1" applyFill="1" applyBorder="1" applyAlignment="1">
      <alignment horizontal="center"/>
    </xf>
    <xf numFmtId="189" fontId="0" fillId="9" borderId="1" xfId="1" applyNumberFormat="1" applyFont="1" applyFill="1" applyBorder="1" applyAlignment="1">
      <alignment horizontal="center"/>
    </xf>
    <xf numFmtId="188" fontId="0" fillId="9" borderId="1" xfId="1" applyNumberFormat="1" applyFont="1" applyFill="1" applyBorder="1" applyAlignment="1">
      <alignment horizontal="center"/>
    </xf>
    <xf numFmtId="188" fontId="0" fillId="9" borderId="1" xfId="1" applyNumberFormat="1" applyFont="1" applyFill="1" applyBorder="1" applyAlignment="1">
      <alignment horizontal="left"/>
    </xf>
    <xf numFmtId="0" fontId="26" fillId="25" borderId="0" xfId="0" applyFont="1" applyFill="1"/>
    <xf numFmtId="0" fontId="0" fillId="25" borderId="0" xfId="0" applyFill="1" applyAlignment="1">
      <alignment horizontal="left"/>
    </xf>
    <xf numFmtId="187" fontId="0" fillId="25" borderId="15" xfId="1" applyFont="1" applyFill="1" applyBorder="1" applyAlignment="1">
      <alignment horizontal="center"/>
    </xf>
    <xf numFmtId="10" fontId="0" fillId="25" borderId="9" xfId="1" applyNumberFormat="1" applyFont="1" applyFill="1" applyBorder="1" applyAlignment="1">
      <alignment horizontal="center"/>
    </xf>
    <xf numFmtId="0" fontId="10" fillId="25" borderId="8" xfId="0" applyFont="1" applyFill="1" applyBorder="1" applyAlignment="1"/>
    <xf numFmtId="0" fontId="10" fillId="25" borderId="9" xfId="0" applyFont="1" applyFill="1" applyBorder="1" applyAlignment="1"/>
    <xf numFmtId="0" fontId="10" fillId="25" borderId="2" xfId="0" applyFont="1" applyFill="1" applyBorder="1" applyAlignment="1"/>
    <xf numFmtId="0" fontId="10" fillId="25" borderId="0" xfId="0" applyFont="1" applyFill="1" applyBorder="1" applyAlignment="1"/>
    <xf numFmtId="0" fontId="10" fillId="25" borderId="14" xfId="0" applyFont="1" applyFill="1" applyBorder="1" applyAlignment="1"/>
    <xf numFmtId="0" fontId="10" fillId="25" borderId="15" xfId="0" applyFont="1" applyFill="1" applyBorder="1" applyAlignment="1"/>
    <xf numFmtId="0" fontId="10" fillId="9" borderId="5" xfId="0" applyFont="1" applyFill="1" applyBorder="1" applyAlignment="1"/>
    <xf numFmtId="0" fontId="10" fillId="9" borderId="4" xfId="0" applyFont="1" applyFill="1" applyBorder="1" applyAlignment="1"/>
    <xf numFmtId="0" fontId="10" fillId="9" borderId="13" xfId="0" applyFont="1" applyFill="1" applyBorder="1" applyAlignment="1"/>
    <xf numFmtId="0" fontId="10" fillId="25" borderId="2" xfId="0" applyFont="1" applyFill="1" applyBorder="1" applyAlignment="1">
      <alignment horizontal="left" vertical="center"/>
    </xf>
    <xf numFmtId="0" fontId="10" fillId="9" borderId="1" xfId="0" applyFont="1" applyFill="1" applyBorder="1" applyAlignment="1">
      <alignment horizontal="left" vertical="center"/>
    </xf>
    <xf numFmtId="188" fontId="0" fillId="25" borderId="7" xfId="1" applyNumberFormat="1" applyFont="1" applyFill="1" applyBorder="1" applyAlignment="1">
      <alignment horizontal="center"/>
    </xf>
    <xf numFmtId="0" fontId="0" fillId="9" borderId="1" xfId="0" applyFont="1" applyFill="1" applyBorder="1"/>
    <xf numFmtId="0" fontId="29" fillId="0" borderId="0" xfId="3" applyAlignment="1" applyProtection="1">
      <alignment horizontal="left"/>
    </xf>
    <xf numFmtId="0" fontId="12" fillId="5" borderId="3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/>
    </xf>
    <xf numFmtId="0" fontId="16" fillId="5" borderId="7" xfId="0" applyFont="1" applyFill="1" applyBorder="1" applyAlignment="1">
      <alignment horizontal="center"/>
    </xf>
    <xf numFmtId="0" fontId="16" fillId="5" borderId="6" xfId="0" applyFont="1" applyFill="1" applyBorder="1" applyAlignment="1">
      <alignment horizontal="center"/>
    </xf>
    <xf numFmtId="0" fontId="0" fillId="29" borderId="3" xfId="0" applyFill="1" applyBorder="1" applyAlignment="1">
      <alignment horizontal="center"/>
    </xf>
    <xf numFmtId="0" fontId="0" fillId="29" borderId="7" xfId="0" applyFill="1" applyBorder="1" applyAlignment="1">
      <alignment horizontal="center"/>
    </xf>
    <xf numFmtId="0" fontId="0" fillId="29" borderId="6" xfId="0" applyFill="1" applyBorder="1" applyAlignment="1">
      <alignment horizontal="center"/>
    </xf>
    <xf numFmtId="0" fontId="22" fillId="21" borderId="16" xfId="0" applyFont="1" applyFill="1" applyBorder="1" applyAlignment="1">
      <alignment horizontal="center" vertical="top" wrapText="1"/>
    </xf>
    <xf numFmtId="0" fontId="22" fillId="21" borderId="17" xfId="0" applyFont="1" applyFill="1" applyBorder="1" applyAlignment="1">
      <alignment horizontal="center" vertical="top" wrapText="1"/>
    </xf>
    <xf numFmtId="0" fontId="22" fillId="21" borderId="16" xfId="0" applyFont="1" applyFill="1" applyBorder="1" applyAlignment="1">
      <alignment vertical="top" wrapText="1"/>
    </xf>
    <xf numFmtId="0" fontId="22" fillId="21" borderId="17" xfId="0" applyFont="1" applyFill="1" applyBorder="1" applyAlignment="1">
      <alignment vertical="top" wrapText="1"/>
    </xf>
    <xf numFmtId="0" fontId="23" fillId="25" borderId="16" xfId="0" applyFont="1" applyFill="1" applyBorder="1" applyAlignment="1">
      <alignment vertical="top" wrapText="1"/>
    </xf>
    <xf numFmtId="0" fontId="23" fillId="25" borderId="17" xfId="0" applyFont="1" applyFill="1" applyBorder="1" applyAlignment="1">
      <alignment vertical="top" wrapText="1"/>
    </xf>
    <xf numFmtId="0" fontId="23" fillId="25" borderId="16" xfId="0" applyFont="1" applyFill="1" applyBorder="1" applyAlignment="1">
      <alignment horizontal="center" vertical="top" wrapText="1"/>
    </xf>
    <xf numFmtId="0" fontId="23" fillId="25" borderId="17" xfId="0" applyFont="1" applyFill="1" applyBorder="1" applyAlignment="1">
      <alignment horizontal="center" vertical="top" wrapText="1"/>
    </xf>
    <xf numFmtId="0" fontId="23" fillId="25" borderId="20" xfId="0" applyFont="1" applyFill="1" applyBorder="1" applyAlignment="1">
      <alignment horizontal="center" vertical="top" wrapText="1"/>
    </xf>
    <xf numFmtId="0" fontId="23" fillId="25" borderId="20" xfId="0" applyFont="1" applyFill="1" applyBorder="1" applyAlignment="1">
      <alignment vertical="top" wrapText="1"/>
    </xf>
    <xf numFmtId="0" fontId="30" fillId="24" borderId="3" xfId="0" applyFont="1" applyFill="1" applyBorder="1" applyAlignment="1">
      <alignment horizontal="center"/>
    </xf>
    <xf numFmtId="0" fontId="30" fillId="24" borderId="7" xfId="0" applyFont="1" applyFill="1" applyBorder="1" applyAlignment="1">
      <alignment horizontal="center"/>
    </xf>
    <xf numFmtId="0" fontId="30" fillId="24" borderId="6" xfId="0" applyFont="1" applyFill="1" applyBorder="1" applyAlignment="1">
      <alignment horizontal="center"/>
    </xf>
    <xf numFmtId="0" fontId="25" fillId="22" borderId="3" xfId="0" applyFont="1" applyFill="1" applyBorder="1" applyAlignment="1">
      <alignment horizontal="center"/>
    </xf>
    <xf numFmtId="0" fontId="25" fillId="22" borderId="7" xfId="0" applyFont="1" applyFill="1" applyBorder="1" applyAlignment="1">
      <alignment horizontal="center"/>
    </xf>
    <xf numFmtId="0" fontId="25" fillId="22" borderId="6" xfId="0" applyFont="1" applyFill="1" applyBorder="1" applyAlignment="1">
      <alignment horizontal="center"/>
    </xf>
    <xf numFmtId="0" fontId="16" fillId="19" borderId="16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CCFFFF"/>
      <color rgb="FF66FF33"/>
      <color rgb="FFCCFFCC"/>
      <color rgb="FF99FFCC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17"/>
  <sheetViews>
    <sheetView tabSelected="1" workbookViewId="0">
      <selection activeCell="H22" sqref="H22"/>
    </sheetView>
  </sheetViews>
  <sheetFormatPr defaultRowHeight="13.8" x14ac:dyDescent="0.25"/>
  <sheetData>
    <row r="1" spans="4:10" ht="21" x14ac:dyDescent="0.4">
      <c r="D1" s="125"/>
      <c r="E1" s="125"/>
      <c r="F1" s="125"/>
      <c r="G1" s="126" t="s">
        <v>290</v>
      </c>
      <c r="H1" s="125"/>
      <c r="I1" s="127"/>
      <c r="J1" s="127"/>
    </row>
    <row r="2" spans="4:10" ht="21" x14ac:dyDescent="0.4">
      <c r="D2" s="93"/>
      <c r="E2" s="93"/>
      <c r="F2" s="93"/>
      <c r="G2" s="128" t="s">
        <v>293</v>
      </c>
      <c r="H2" s="93"/>
      <c r="I2" s="88"/>
      <c r="J2" s="88"/>
    </row>
    <row r="3" spans="4:10" x14ac:dyDescent="0.25">
      <c r="D3" s="129"/>
      <c r="E3" s="130"/>
      <c r="F3" s="130"/>
      <c r="G3" s="131" t="s">
        <v>291</v>
      </c>
      <c r="H3" s="130"/>
      <c r="I3" s="129"/>
      <c r="J3" s="129"/>
    </row>
    <row r="4" spans="4:10" x14ac:dyDescent="0.25">
      <c r="D4" s="132"/>
      <c r="E4" s="132"/>
      <c r="F4" s="132"/>
      <c r="G4" s="133" t="s">
        <v>292</v>
      </c>
      <c r="H4" s="132"/>
      <c r="I4" s="134"/>
      <c r="J4" s="134"/>
    </row>
    <row r="7" spans="4:10" x14ac:dyDescent="0.25">
      <c r="D7" s="260" t="s">
        <v>202</v>
      </c>
      <c r="E7" s="260"/>
      <c r="F7" s="260"/>
      <c r="G7" s="260"/>
      <c r="H7" s="260"/>
      <c r="I7" s="260"/>
      <c r="J7" s="260"/>
    </row>
    <row r="8" spans="4:10" x14ac:dyDescent="0.25">
      <c r="D8" s="260" t="s">
        <v>118</v>
      </c>
      <c r="E8" s="260"/>
      <c r="F8" s="260"/>
      <c r="G8" s="260"/>
      <c r="H8" s="260"/>
      <c r="I8" s="260"/>
      <c r="J8" s="260"/>
    </row>
    <row r="9" spans="4:10" x14ac:dyDescent="0.25">
      <c r="D9" s="260" t="s">
        <v>119</v>
      </c>
      <c r="E9" s="260"/>
      <c r="F9" s="260"/>
      <c r="G9" s="260"/>
      <c r="H9" s="260"/>
      <c r="I9" s="260"/>
      <c r="J9" s="260"/>
    </row>
    <row r="10" spans="4:10" x14ac:dyDescent="0.25">
      <c r="D10" s="260" t="s">
        <v>120</v>
      </c>
      <c r="E10" s="260"/>
      <c r="F10" s="260"/>
      <c r="G10" s="260"/>
      <c r="H10" s="260"/>
      <c r="I10" s="260"/>
      <c r="J10" s="260"/>
    </row>
    <row r="11" spans="4:10" x14ac:dyDescent="0.25">
      <c r="D11" s="260" t="s">
        <v>210</v>
      </c>
      <c r="E11" s="260"/>
      <c r="F11" s="260"/>
      <c r="G11" s="260"/>
      <c r="H11" s="260"/>
      <c r="I11" s="260"/>
      <c r="J11" s="260"/>
    </row>
    <row r="12" spans="4:10" x14ac:dyDescent="0.25">
      <c r="D12" s="260" t="s">
        <v>211</v>
      </c>
      <c r="E12" s="260"/>
      <c r="F12" s="260"/>
      <c r="G12" s="260"/>
      <c r="H12" s="260"/>
      <c r="I12" s="260"/>
      <c r="J12" s="260"/>
    </row>
    <row r="13" spans="4:10" x14ac:dyDescent="0.25">
      <c r="D13" s="260" t="s">
        <v>161</v>
      </c>
      <c r="E13" s="260"/>
      <c r="F13" s="260"/>
      <c r="G13" s="260"/>
      <c r="H13" s="260"/>
      <c r="I13" s="260"/>
      <c r="J13" s="260"/>
    </row>
    <row r="14" spans="4:10" x14ac:dyDescent="0.25">
      <c r="D14" s="260" t="s">
        <v>188</v>
      </c>
      <c r="E14" s="260"/>
      <c r="F14" s="260"/>
      <c r="G14" s="260"/>
      <c r="H14" s="260"/>
      <c r="I14" s="260"/>
      <c r="J14" s="260"/>
    </row>
    <row r="15" spans="4:10" x14ac:dyDescent="0.25">
      <c r="D15" s="260" t="s">
        <v>222</v>
      </c>
      <c r="E15" s="260"/>
      <c r="F15" s="260"/>
      <c r="G15" s="260"/>
      <c r="H15" s="260"/>
      <c r="I15" s="260"/>
      <c r="J15" s="260"/>
    </row>
    <row r="16" spans="4:10" x14ac:dyDescent="0.25">
      <c r="D16" s="260" t="s">
        <v>294</v>
      </c>
      <c r="E16" s="260"/>
      <c r="F16" s="260"/>
      <c r="G16" s="260"/>
      <c r="H16" s="260"/>
      <c r="I16" s="260"/>
      <c r="J16" s="260"/>
    </row>
    <row r="17" spans="4:10" x14ac:dyDescent="0.25">
      <c r="D17" s="260" t="s">
        <v>289</v>
      </c>
      <c r="E17" s="260"/>
      <c r="F17" s="260"/>
      <c r="G17" s="260"/>
      <c r="H17" s="260"/>
      <c r="I17" s="260"/>
      <c r="J17" s="260"/>
    </row>
  </sheetData>
  <mergeCells count="11">
    <mergeCell ref="D12:J12"/>
    <mergeCell ref="D7:J7"/>
    <mergeCell ref="D8:J8"/>
    <mergeCell ref="D9:J9"/>
    <mergeCell ref="D10:J10"/>
    <mergeCell ref="D11:J11"/>
    <mergeCell ref="D13:J13"/>
    <mergeCell ref="D14:J14"/>
    <mergeCell ref="D15:J15"/>
    <mergeCell ref="D16:J16"/>
    <mergeCell ref="D17:J17"/>
  </mergeCells>
  <hyperlinks>
    <hyperlink ref="D7" location="Form1!A1" display="แบบฟอร์มที่ 1 การประมาณ ต้นทุนไอน้ำ"/>
    <hyperlink ref="D8" location="Form2!A1" display="แบบฟอร์มที่ 2 การวัดประสิทธิภาพหม้อไอน้ำ"/>
    <hyperlink ref="D9" location="Form3!A1" display="แบบฟอร์มที่ 3 การอินเตอร์โพเลท(Interpolate) ความสูญเสียที่ปล่องไอเสีย"/>
    <hyperlink ref="D10" location="Form4!A1" display="แบบฟอร์มที่ 4 การประเมินการสูญเสีย จากออกซิเจนส่วนเกินในไอเสียและอุณหภูมิไอเสีย"/>
    <hyperlink ref="D11" location="Form5!A1" display="แบบฟอร์มที่ 5 การปรับปรุงน้ำระบาย(Blowdown)"/>
    <hyperlink ref="D12" location="Form6!A1" display="แบบฟอร์มที่ 6 การคำนวณความร้อนสูญเสียท่อส่งไอน้ำ"/>
    <hyperlink ref="D13:J13" location="Form7!A1" display="แบบฟอร์มที่ 7 ใบตรวจสอบ Steam Trap"/>
    <hyperlink ref="D15:J15" location="Form9!A1" display="แบบฟอร์มที่ 9 การคำนวณการนำคอนเดนเสทกลับ"/>
    <hyperlink ref="D16:J16" location="Form10!A1" display="แบบฟอร์มที่ 10 สรุปปัจจัยที่มีผลต่อประสิทธิภาพระบบไอน้ำ"/>
    <hyperlink ref="D17:J17" location="Form11!A1" display="แบบฟอร์มที่ 11 แนวทางการบำรุงรักษาระบบไอน้ำ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3"/>
  <sheetViews>
    <sheetView topLeftCell="A5" zoomScale="96" zoomScaleNormal="96" workbookViewId="0">
      <selection activeCell="C28" sqref="C28"/>
    </sheetView>
  </sheetViews>
  <sheetFormatPr defaultRowHeight="13.8" x14ac:dyDescent="0.25"/>
  <cols>
    <col min="1" max="1" width="4.59765625" customWidth="1"/>
    <col min="2" max="2" width="9" style="2"/>
    <col min="3" max="3" width="65.19921875" customWidth="1"/>
    <col min="4" max="4" width="15.19921875" customWidth="1"/>
    <col min="5" max="5" width="14.3984375" style="43" customWidth="1"/>
    <col min="6" max="6" width="15.19921875" customWidth="1"/>
    <col min="7" max="7" width="7.09765625" customWidth="1"/>
    <col min="8" max="8" width="6.8984375" customWidth="1"/>
    <col min="9" max="9" width="6.59765625" customWidth="1"/>
    <col min="12" max="12" width="13.3984375" customWidth="1"/>
  </cols>
  <sheetData>
    <row r="1" spans="3:8" ht="26.4" x14ac:dyDescent="0.7">
      <c r="C1" s="261" t="s">
        <v>376</v>
      </c>
      <c r="D1" s="262"/>
      <c r="E1" s="262"/>
      <c r="F1" s="263"/>
    </row>
    <row r="2" spans="3:8" x14ac:dyDescent="0.25">
      <c r="C2" s="167"/>
      <c r="D2" s="157"/>
      <c r="E2" s="168"/>
      <c r="F2" s="169"/>
    </row>
    <row r="3" spans="3:8" x14ac:dyDescent="0.25">
      <c r="C3" s="85" t="s">
        <v>203</v>
      </c>
      <c r="D3" s="35" t="s">
        <v>7</v>
      </c>
      <c r="E3" s="36" t="s">
        <v>8</v>
      </c>
      <c r="F3" s="37" t="s">
        <v>9</v>
      </c>
    </row>
    <row r="4" spans="3:8" x14ac:dyDescent="0.25">
      <c r="C4" s="18" t="s">
        <v>65</v>
      </c>
      <c r="D4" s="139"/>
      <c r="E4" s="19" t="s">
        <v>66</v>
      </c>
      <c r="F4" s="140"/>
    </row>
    <row r="5" spans="3:8" x14ac:dyDescent="0.25">
      <c r="C5" s="18" t="s">
        <v>383</v>
      </c>
      <c r="D5" s="19" t="s">
        <v>20</v>
      </c>
      <c r="E5" s="30">
        <f>200*26</f>
        <v>5200</v>
      </c>
      <c r="F5" s="19" t="s">
        <v>82</v>
      </c>
    </row>
    <row r="6" spans="3:8" x14ac:dyDescent="0.25">
      <c r="C6" s="18" t="s">
        <v>67</v>
      </c>
      <c r="D6" s="19" t="s">
        <v>68</v>
      </c>
      <c r="E6" s="30">
        <v>5</v>
      </c>
      <c r="F6" s="141" t="s">
        <v>81</v>
      </c>
    </row>
    <row r="7" spans="3:8" x14ac:dyDescent="0.25">
      <c r="C7" s="18" t="s">
        <v>381</v>
      </c>
      <c r="D7" s="19" t="s">
        <v>71</v>
      </c>
      <c r="E7" s="30">
        <v>56000</v>
      </c>
      <c r="F7" s="19" t="s">
        <v>75</v>
      </c>
    </row>
    <row r="8" spans="3:8" x14ac:dyDescent="0.25">
      <c r="C8" s="49" t="s">
        <v>80</v>
      </c>
      <c r="D8" s="146"/>
      <c r="E8" s="147"/>
      <c r="F8" s="148"/>
    </row>
    <row r="9" spans="3:8" x14ac:dyDescent="0.25">
      <c r="C9" s="41" t="s">
        <v>378</v>
      </c>
      <c r="D9" s="157"/>
      <c r="E9" s="168"/>
      <c r="F9" s="149"/>
    </row>
    <row r="10" spans="3:8" x14ac:dyDescent="0.25">
      <c r="C10" s="51" t="s">
        <v>379</v>
      </c>
      <c r="D10" s="44" t="s">
        <v>70</v>
      </c>
      <c r="E10" s="50">
        <f>(E5*E6+E7)/E5</f>
        <v>15.76923076923077</v>
      </c>
      <c r="F10" s="171" t="s">
        <v>81</v>
      </c>
    </row>
    <row r="11" spans="3:8" x14ac:dyDescent="0.25">
      <c r="C11" s="150"/>
      <c r="D11" s="151"/>
      <c r="E11" s="152"/>
      <c r="F11" s="148"/>
    </row>
    <row r="12" spans="3:8" x14ac:dyDescent="0.25">
      <c r="C12" s="85" t="s">
        <v>72</v>
      </c>
      <c r="D12" s="201"/>
      <c r="E12" s="245"/>
      <c r="F12" s="154"/>
    </row>
    <row r="13" spans="3:8" x14ac:dyDescent="0.25">
      <c r="C13" s="18" t="s">
        <v>73</v>
      </c>
      <c r="D13" s="156"/>
      <c r="E13" s="19" t="s">
        <v>110</v>
      </c>
      <c r="F13" s="154"/>
      <c r="H13" s="53"/>
    </row>
    <row r="14" spans="3:8" x14ac:dyDescent="0.25">
      <c r="C14" s="18" t="s">
        <v>204</v>
      </c>
      <c r="D14" s="138"/>
      <c r="E14" s="19" t="s">
        <v>63</v>
      </c>
      <c r="F14" s="155"/>
    </row>
    <row r="15" spans="3:8" x14ac:dyDescent="0.25">
      <c r="C15" s="18" t="s">
        <v>382</v>
      </c>
      <c r="D15" s="19" t="s">
        <v>24</v>
      </c>
      <c r="E15" s="1">
        <f>13500*26</f>
        <v>351000</v>
      </c>
      <c r="F15" s="19" t="s">
        <v>353</v>
      </c>
    </row>
    <row r="16" spans="3:8" x14ac:dyDescent="0.25">
      <c r="C16" s="18" t="s">
        <v>295</v>
      </c>
      <c r="D16" s="19" t="s">
        <v>74</v>
      </c>
      <c r="E16" s="46">
        <v>20</v>
      </c>
      <c r="F16" s="19" t="s">
        <v>354</v>
      </c>
    </row>
    <row r="17" spans="2:9" x14ac:dyDescent="0.25">
      <c r="B17" s="2" t="s">
        <v>12</v>
      </c>
      <c r="C17" s="38" t="s">
        <v>380</v>
      </c>
      <c r="D17" s="157"/>
      <c r="E17" s="168"/>
      <c r="F17" s="169"/>
    </row>
    <row r="18" spans="2:9" x14ac:dyDescent="0.25">
      <c r="C18" s="7" t="s">
        <v>78</v>
      </c>
      <c r="D18" s="5" t="s">
        <v>76</v>
      </c>
      <c r="E18" s="52">
        <f>E15*E16</f>
        <v>7020000</v>
      </c>
      <c r="F18" s="5" t="s">
        <v>75</v>
      </c>
    </row>
    <row r="19" spans="2:9" x14ac:dyDescent="0.25">
      <c r="C19" s="170"/>
      <c r="D19" s="151"/>
      <c r="E19" s="152"/>
      <c r="F19" s="154"/>
    </row>
    <row r="20" spans="2:9" x14ac:dyDescent="0.25">
      <c r="C20" s="84" t="s">
        <v>205</v>
      </c>
      <c r="D20" s="151"/>
      <c r="E20" s="152"/>
      <c r="F20" s="154"/>
    </row>
    <row r="21" spans="2:9" x14ac:dyDescent="0.25">
      <c r="C21" s="18" t="s">
        <v>5</v>
      </c>
      <c r="D21" s="19" t="s">
        <v>16</v>
      </c>
      <c r="E21" s="18">
        <v>9</v>
      </c>
      <c r="F21" s="19" t="s">
        <v>1</v>
      </c>
    </row>
    <row r="22" spans="2:9" ht="15" x14ac:dyDescent="0.3">
      <c r="B22" s="2" t="s">
        <v>12</v>
      </c>
      <c r="C22" s="18" t="s">
        <v>384</v>
      </c>
      <c r="D22" s="19" t="s">
        <v>91</v>
      </c>
      <c r="E22" s="160">
        <v>2773.8</v>
      </c>
      <c r="F22" s="19" t="s">
        <v>11</v>
      </c>
    </row>
    <row r="23" spans="2:9" ht="15" x14ac:dyDescent="0.3">
      <c r="C23" s="18" t="s">
        <v>385</v>
      </c>
      <c r="D23" s="19" t="s">
        <v>86</v>
      </c>
      <c r="E23" s="30">
        <v>741</v>
      </c>
      <c r="F23" s="19" t="s">
        <v>11</v>
      </c>
    </row>
    <row r="24" spans="2:9" x14ac:dyDescent="0.25">
      <c r="C24" s="18" t="s">
        <v>386</v>
      </c>
      <c r="D24" s="19" t="s">
        <v>84</v>
      </c>
      <c r="E24" s="30">
        <v>20000</v>
      </c>
      <c r="F24" s="19" t="s">
        <v>377</v>
      </c>
    </row>
    <row r="25" spans="2:9" ht="15" x14ac:dyDescent="0.3">
      <c r="B25" s="2" t="s">
        <v>12</v>
      </c>
      <c r="C25" s="18" t="s">
        <v>298</v>
      </c>
      <c r="D25" s="19" t="s">
        <v>90</v>
      </c>
      <c r="E25" s="30">
        <v>2675</v>
      </c>
      <c r="F25" s="19" t="s">
        <v>11</v>
      </c>
      <c r="I25" t="s">
        <v>12</v>
      </c>
    </row>
    <row r="26" spans="2:9" ht="15" x14ac:dyDescent="0.3">
      <c r="C26" s="18" t="s">
        <v>299</v>
      </c>
      <c r="D26" s="19" t="s">
        <v>89</v>
      </c>
      <c r="E26" s="18">
        <v>419</v>
      </c>
      <c r="F26" s="19" t="s">
        <v>11</v>
      </c>
      <c r="G26" t="s">
        <v>12</v>
      </c>
    </row>
    <row r="27" spans="2:9" x14ac:dyDescent="0.25">
      <c r="C27" s="7" t="s">
        <v>387</v>
      </c>
      <c r="D27" s="142"/>
      <c r="E27" s="158"/>
      <c r="F27" s="162"/>
    </row>
    <row r="28" spans="2:9" ht="15" x14ac:dyDescent="0.3">
      <c r="C28" s="4" t="s">
        <v>321</v>
      </c>
      <c r="D28" s="5" t="s">
        <v>35</v>
      </c>
      <c r="E28" s="6">
        <f>E24*(E23-E26)/(E25-E26)</f>
        <v>2854.6099290780144</v>
      </c>
      <c r="F28" s="5" t="s">
        <v>88</v>
      </c>
    </row>
    <row r="29" spans="2:9" x14ac:dyDescent="0.25">
      <c r="C29" s="18" t="s">
        <v>388</v>
      </c>
      <c r="D29" s="19" t="s">
        <v>92</v>
      </c>
      <c r="E29" s="54">
        <v>26</v>
      </c>
      <c r="F29" s="19" t="s">
        <v>93</v>
      </c>
    </row>
    <row r="30" spans="2:9" x14ac:dyDescent="0.25">
      <c r="C30" s="142"/>
      <c r="D30" s="159"/>
      <c r="E30" s="163"/>
      <c r="F30" s="148"/>
    </row>
    <row r="31" spans="2:9" x14ac:dyDescent="0.25">
      <c r="C31" s="41" t="s">
        <v>389</v>
      </c>
      <c r="D31" s="164"/>
      <c r="E31" s="165"/>
      <c r="F31" s="149"/>
    </row>
    <row r="32" spans="2:9" x14ac:dyDescent="0.25">
      <c r="C32" s="51" t="s">
        <v>300</v>
      </c>
      <c r="D32" s="44" t="s">
        <v>79</v>
      </c>
      <c r="E32" s="45">
        <f>(E5*E6+E7+E18)/(E5-(E24+E28)*E29/1000)</f>
        <v>1541.9754702309003</v>
      </c>
      <c r="F32" s="171" t="s">
        <v>83</v>
      </c>
    </row>
    <row r="33" spans="3:6" x14ac:dyDescent="0.25">
      <c r="C33" s="47" t="s">
        <v>61</v>
      </c>
      <c r="D33" s="2"/>
      <c r="E33" s="48"/>
      <c r="F33" s="2"/>
    </row>
  </sheetData>
  <mergeCells count="1">
    <mergeCell ref="C1:F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7" zoomScaleNormal="100" workbookViewId="0">
      <selection activeCell="F10" sqref="F10"/>
    </sheetView>
  </sheetViews>
  <sheetFormatPr defaultRowHeight="13.8" x14ac:dyDescent="0.25"/>
  <cols>
    <col min="1" max="1" width="9" style="2"/>
    <col min="2" max="2" width="56.69921875" customWidth="1"/>
    <col min="3" max="3" width="10.69921875" style="2" customWidth="1"/>
    <col min="4" max="4" width="15.3984375" bestFit="1" customWidth="1"/>
    <col min="5" max="5" width="9" customWidth="1"/>
    <col min="6" max="6" width="13" customWidth="1"/>
  </cols>
  <sheetData>
    <row r="1" spans="2:7" ht="26.4" x14ac:dyDescent="0.7">
      <c r="B1" s="261" t="s">
        <v>118</v>
      </c>
      <c r="C1" s="262"/>
      <c r="D1" s="262"/>
      <c r="E1" s="263"/>
    </row>
    <row r="2" spans="2:7" x14ac:dyDescent="0.25">
      <c r="B2" s="142"/>
      <c r="C2" s="159"/>
      <c r="D2" s="183"/>
      <c r="E2" s="186"/>
    </row>
    <row r="3" spans="2:7" x14ac:dyDescent="0.25">
      <c r="B3" s="172" t="s">
        <v>3</v>
      </c>
      <c r="C3" s="153"/>
      <c r="D3" s="157"/>
      <c r="E3" s="169"/>
    </row>
    <row r="4" spans="2:7" x14ac:dyDescent="0.25">
      <c r="B4" s="172" t="s">
        <v>390</v>
      </c>
      <c r="C4" s="185"/>
      <c r="D4" s="166"/>
      <c r="E4" s="149"/>
    </row>
    <row r="5" spans="2:7" x14ac:dyDescent="0.25">
      <c r="B5" s="224"/>
      <c r="C5" s="35" t="s">
        <v>7</v>
      </c>
      <c r="D5" s="36" t="s">
        <v>8</v>
      </c>
      <c r="E5" s="37" t="s">
        <v>9</v>
      </c>
    </row>
    <row r="6" spans="2:7" ht="15.6" x14ac:dyDescent="0.25">
      <c r="B6" s="18" t="s">
        <v>4</v>
      </c>
      <c r="C6" s="19" t="s">
        <v>15</v>
      </c>
      <c r="D6" s="18">
        <v>90</v>
      </c>
      <c r="E6" s="19" t="s">
        <v>303</v>
      </c>
    </row>
    <row r="7" spans="2:7" ht="15" x14ac:dyDescent="0.3">
      <c r="B7" s="18" t="s">
        <v>301</v>
      </c>
      <c r="C7" s="19" t="s">
        <v>85</v>
      </c>
      <c r="D7" s="18">
        <v>377</v>
      </c>
      <c r="E7" s="19" t="s">
        <v>11</v>
      </c>
    </row>
    <row r="8" spans="2:7" ht="16.2" x14ac:dyDescent="0.3">
      <c r="B8" s="18" t="s">
        <v>10</v>
      </c>
      <c r="C8" s="19" t="s">
        <v>13</v>
      </c>
      <c r="D8" s="18">
        <v>1.036</v>
      </c>
      <c r="E8" s="19" t="s">
        <v>14</v>
      </c>
    </row>
    <row r="9" spans="2:7" x14ac:dyDescent="0.25">
      <c r="B9" s="18" t="s">
        <v>6</v>
      </c>
      <c r="C9" s="19" t="s">
        <v>17</v>
      </c>
      <c r="D9" s="30">
        <v>200000</v>
      </c>
      <c r="E9" s="19" t="s">
        <v>396</v>
      </c>
      <c r="G9" t="s">
        <v>12</v>
      </c>
    </row>
    <row r="10" spans="2:7" x14ac:dyDescent="0.25">
      <c r="B10" s="18" t="s">
        <v>391</v>
      </c>
      <c r="C10" s="19" t="s">
        <v>84</v>
      </c>
      <c r="D10" s="30">
        <v>20000</v>
      </c>
      <c r="E10" s="19" t="s">
        <v>88</v>
      </c>
    </row>
    <row r="11" spans="2:7" x14ac:dyDescent="0.25">
      <c r="B11" s="18" t="s">
        <v>5</v>
      </c>
      <c r="C11" s="19" t="s">
        <v>16</v>
      </c>
      <c r="D11" s="18">
        <v>9</v>
      </c>
      <c r="E11" s="19" t="s">
        <v>1</v>
      </c>
    </row>
    <row r="12" spans="2:7" ht="15" x14ac:dyDescent="0.3">
      <c r="B12" s="18" t="s">
        <v>296</v>
      </c>
      <c r="C12" s="19" t="s">
        <v>91</v>
      </c>
      <c r="D12" s="160">
        <v>2773.8</v>
      </c>
      <c r="E12" s="19" t="s">
        <v>11</v>
      </c>
    </row>
    <row r="13" spans="2:7" ht="15" x14ac:dyDescent="0.3">
      <c r="B13" s="18" t="s">
        <v>297</v>
      </c>
      <c r="C13" s="19" t="s">
        <v>86</v>
      </c>
      <c r="D13" s="30">
        <v>741</v>
      </c>
      <c r="E13" s="19" t="s">
        <v>11</v>
      </c>
    </row>
    <row r="14" spans="2:7" x14ac:dyDescent="0.25">
      <c r="B14" s="167"/>
      <c r="C14" s="153"/>
      <c r="D14" s="157"/>
      <c r="E14" s="154"/>
    </row>
    <row r="15" spans="2:7" ht="15" x14ac:dyDescent="0.3">
      <c r="B15" s="18" t="s">
        <v>298</v>
      </c>
      <c r="C15" s="19" t="s">
        <v>90</v>
      </c>
      <c r="D15" s="30">
        <v>2675</v>
      </c>
      <c r="E15" s="19" t="s">
        <v>11</v>
      </c>
    </row>
    <row r="16" spans="2:7" ht="15" x14ac:dyDescent="0.3">
      <c r="B16" s="18" t="s">
        <v>299</v>
      </c>
      <c r="C16" s="19" t="s">
        <v>89</v>
      </c>
      <c r="D16" s="18">
        <v>419</v>
      </c>
      <c r="E16" s="19" t="s">
        <v>11</v>
      </c>
    </row>
    <row r="17" spans="2:7" x14ac:dyDescent="0.25">
      <c r="B17" s="7" t="s">
        <v>387</v>
      </c>
      <c r="C17" s="153"/>
      <c r="D17" s="157"/>
      <c r="E17" s="169"/>
      <c r="G17" s="53" t="s">
        <v>12</v>
      </c>
    </row>
    <row r="18" spans="2:7" ht="15" x14ac:dyDescent="0.3">
      <c r="B18" s="174" t="s">
        <v>321</v>
      </c>
      <c r="C18" s="5" t="s">
        <v>35</v>
      </c>
      <c r="D18" s="6">
        <f>D10*(D13-D16)/(D15-D16)</f>
        <v>2854.6099290780144</v>
      </c>
      <c r="E18" s="5" t="s">
        <v>88</v>
      </c>
    </row>
    <row r="19" spans="2:7" x14ac:dyDescent="0.25">
      <c r="B19" s="7" t="s">
        <v>18</v>
      </c>
      <c r="C19" s="153"/>
      <c r="D19" s="157"/>
      <c r="E19" s="169"/>
    </row>
    <row r="20" spans="2:7" ht="15" customHeight="1" x14ac:dyDescent="0.3">
      <c r="B20" s="7" t="s">
        <v>302</v>
      </c>
      <c r="C20" s="5" t="s">
        <v>20</v>
      </c>
      <c r="D20" s="6">
        <f>D9/D8-D10-D18</f>
        <v>170195.58312111502</v>
      </c>
      <c r="E20" s="5" t="s">
        <v>377</v>
      </c>
    </row>
    <row r="21" spans="2:7" x14ac:dyDescent="0.25">
      <c r="B21" s="9" t="s">
        <v>392</v>
      </c>
      <c r="C21" s="153"/>
      <c r="D21" s="157"/>
      <c r="E21" s="169"/>
      <c r="F21" s="42"/>
    </row>
    <row r="22" spans="2:7" ht="15" customHeight="1" x14ac:dyDescent="0.35">
      <c r="B22" s="12" t="s">
        <v>393</v>
      </c>
      <c r="C22" s="10" t="s">
        <v>19</v>
      </c>
      <c r="D22" s="11">
        <f>D20*(D12-D7)/1000</f>
        <v>407924.7736246885</v>
      </c>
      <c r="E22" s="10" t="s">
        <v>397</v>
      </c>
    </row>
    <row r="23" spans="2:7" ht="15" customHeight="1" x14ac:dyDescent="0.25">
      <c r="B23" s="167"/>
      <c r="C23" s="153"/>
      <c r="D23" s="157"/>
      <c r="E23" s="154"/>
    </row>
    <row r="24" spans="2:7" x14ac:dyDescent="0.25">
      <c r="B24" s="87" t="s">
        <v>22</v>
      </c>
      <c r="C24" s="184"/>
      <c r="D24" s="166"/>
      <c r="E24" s="155"/>
    </row>
    <row r="25" spans="2:7" x14ac:dyDescent="0.25">
      <c r="B25" s="18" t="s">
        <v>21</v>
      </c>
      <c r="C25" s="19" t="s">
        <v>25</v>
      </c>
      <c r="D25" s="18">
        <v>39.770000000000003</v>
      </c>
      <c r="E25" s="19" t="s">
        <v>355</v>
      </c>
      <c r="G25" t="s">
        <v>12</v>
      </c>
    </row>
    <row r="26" spans="2:7" x14ac:dyDescent="0.25">
      <c r="B26" s="18" t="s">
        <v>23</v>
      </c>
      <c r="C26" s="19" t="s">
        <v>24</v>
      </c>
      <c r="D26" s="30">
        <v>13500</v>
      </c>
      <c r="E26" s="19" t="s">
        <v>396</v>
      </c>
    </row>
    <row r="27" spans="2:7" x14ac:dyDescent="0.25">
      <c r="B27" s="167"/>
      <c r="C27" s="153"/>
      <c r="D27" s="157"/>
      <c r="E27" s="154"/>
    </row>
    <row r="28" spans="2:7" x14ac:dyDescent="0.25">
      <c r="B28" s="8" t="s">
        <v>394</v>
      </c>
      <c r="C28" s="136"/>
      <c r="D28" s="135"/>
      <c r="E28" s="149"/>
      <c r="F28" s="42"/>
    </row>
    <row r="29" spans="2:7" x14ac:dyDescent="0.25">
      <c r="B29" s="177" t="s">
        <v>207</v>
      </c>
      <c r="C29" s="86" t="s">
        <v>206</v>
      </c>
      <c r="D29" s="13">
        <f>D25*D26</f>
        <v>536895</v>
      </c>
      <c r="E29" s="86" t="s">
        <v>397</v>
      </c>
    </row>
    <row r="30" spans="2:7" x14ac:dyDescent="0.25">
      <c r="B30" s="167"/>
      <c r="C30" s="153"/>
      <c r="D30" s="157"/>
      <c r="E30" s="154"/>
    </row>
    <row r="31" spans="2:7" x14ac:dyDescent="0.25">
      <c r="B31" s="14" t="s">
        <v>395</v>
      </c>
      <c r="C31" s="136"/>
      <c r="D31" s="135"/>
      <c r="E31" s="149"/>
    </row>
    <row r="32" spans="2:7" x14ac:dyDescent="0.25">
      <c r="B32" s="176" t="s">
        <v>208</v>
      </c>
      <c r="C32" s="15" t="s">
        <v>26</v>
      </c>
      <c r="D32" s="16">
        <f>D22/D29%</f>
        <v>75.978501126791741</v>
      </c>
      <c r="E32" s="175" t="s">
        <v>2</v>
      </c>
    </row>
  </sheetData>
  <mergeCells count="1">
    <mergeCell ref="B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I15" sqref="I15"/>
    </sheetView>
  </sheetViews>
  <sheetFormatPr defaultRowHeight="13.8" x14ac:dyDescent="0.25"/>
  <cols>
    <col min="1" max="1" width="31" customWidth="1"/>
    <col min="2" max="2" width="11.59765625" style="2" customWidth="1"/>
    <col min="4" max="4" width="10.09765625" customWidth="1"/>
  </cols>
  <sheetData>
    <row r="1" spans="1:6" ht="23.4" x14ac:dyDescent="0.6">
      <c r="A1" s="264" t="s">
        <v>310</v>
      </c>
      <c r="B1" s="265"/>
      <c r="C1" s="265"/>
      <c r="D1" s="266"/>
    </row>
    <row r="2" spans="1:6" x14ac:dyDescent="0.25">
      <c r="A2" s="167"/>
      <c r="B2" s="35" t="s">
        <v>7</v>
      </c>
      <c r="C2" s="36" t="s">
        <v>8</v>
      </c>
      <c r="D2" s="37" t="s">
        <v>9</v>
      </c>
    </row>
    <row r="3" spans="1:6" x14ac:dyDescent="0.25">
      <c r="A3" s="18" t="s">
        <v>27</v>
      </c>
      <c r="B3" s="19" t="s">
        <v>28</v>
      </c>
      <c r="C3" s="18">
        <v>5</v>
      </c>
      <c r="D3" s="19" t="s">
        <v>2</v>
      </c>
    </row>
    <row r="4" spans="1:6" ht="15.6" x14ac:dyDescent="0.25">
      <c r="A4" s="18" t="s">
        <v>304</v>
      </c>
      <c r="B4" s="19" t="s">
        <v>40</v>
      </c>
      <c r="C4" s="18">
        <v>220</v>
      </c>
      <c r="D4" s="19" t="s">
        <v>303</v>
      </c>
      <c r="F4" s="179"/>
    </row>
    <row r="5" spans="1:6" x14ac:dyDescent="0.25">
      <c r="A5" s="18" t="s">
        <v>305</v>
      </c>
      <c r="B5" s="19" t="s">
        <v>41</v>
      </c>
      <c r="C5" s="18">
        <v>8.89</v>
      </c>
      <c r="D5" s="19" t="s">
        <v>2</v>
      </c>
    </row>
    <row r="6" spans="1:6" ht="15" customHeight="1" x14ac:dyDescent="0.6">
      <c r="A6" s="180" t="s">
        <v>306</v>
      </c>
      <c r="B6" s="181" t="s">
        <v>42</v>
      </c>
      <c r="C6" s="180">
        <v>240</v>
      </c>
      <c r="D6" s="181" t="s">
        <v>303</v>
      </c>
      <c r="E6" s="17" t="s">
        <v>12</v>
      </c>
    </row>
    <row r="7" spans="1:6" x14ac:dyDescent="0.25">
      <c r="A7" s="18" t="s">
        <v>307</v>
      </c>
      <c r="B7" s="19" t="s">
        <v>43</v>
      </c>
      <c r="C7" s="18">
        <v>9.8699999999999992</v>
      </c>
      <c r="D7" s="19" t="s">
        <v>2</v>
      </c>
    </row>
    <row r="8" spans="1:6" ht="15.6" x14ac:dyDescent="0.25">
      <c r="A8" s="18" t="s">
        <v>308</v>
      </c>
      <c r="B8" s="19" t="s">
        <v>44</v>
      </c>
      <c r="C8" s="18">
        <v>225</v>
      </c>
      <c r="D8" s="19" t="s">
        <v>303</v>
      </c>
    </row>
    <row r="9" spans="1:6" x14ac:dyDescent="0.25">
      <c r="A9" s="20" t="s">
        <v>309</v>
      </c>
      <c r="B9" s="178"/>
      <c r="C9" s="143"/>
      <c r="D9" s="162"/>
    </row>
    <row r="10" spans="1:6" ht="14.4" x14ac:dyDescent="0.3">
      <c r="A10" s="22" t="s">
        <v>398</v>
      </c>
      <c r="B10" s="21" t="s">
        <v>45</v>
      </c>
      <c r="C10" s="24">
        <f>C5+(C7-C5)*(C8-C4)/(C6-C4)</f>
        <v>9.1349999999999998</v>
      </c>
      <c r="D10" s="21" t="s">
        <v>2</v>
      </c>
      <c r="F10" t="s">
        <v>12</v>
      </c>
    </row>
    <row r="13" spans="1:6" ht="14.4" x14ac:dyDescent="0.3">
      <c r="F13" s="23" t="s">
        <v>12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C17" sqref="C17"/>
    </sheetView>
  </sheetViews>
  <sheetFormatPr defaultRowHeight="13.8" x14ac:dyDescent="0.25"/>
  <cols>
    <col min="1" max="1" width="9" style="2"/>
    <col min="2" max="2" width="42.19921875" customWidth="1"/>
    <col min="3" max="3" width="10.69921875" style="2" customWidth="1"/>
    <col min="4" max="4" width="13.3984375" bestFit="1" customWidth="1"/>
    <col min="5" max="5" width="11.69921875" customWidth="1"/>
  </cols>
  <sheetData>
    <row r="1" spans="2:7" ht="23.4" x14ac:dyDescent="0.6">
      <c r="B1" s="264" t="s">
        <v>402</v>
      </c>
      <c r="C1" s="265"/>
      <c r="D1" s="265"/>
      <c r="E1" s="266"/>
    </row>
    <row r="2" spans="2:7" x14ac:dyDescent="0.25">
      <c r="B2" s="146"/>
      <c r="C2" s="159"/>
      <c r="D2" s="183"/>
      <c r="E2" s="186"/>
    </row>
    <row r="3" spans="2:7" x14ac:dyDescent="0.25">
      <c r="B3" s="89" t="s">
        <v>29</v>
      </c>
      <c r="C3" s="184"/>
      <c r="D3" s="166"/>
      <c r="E3" s="149"/>
    </row>
    <row r="4" spans="2:7" x14ac:dyDescent="0.25">
      <c r="B4" s="4"/>
      <c r="C4" s="35" t="s">
        <v>7</v>
      </c>
      <c r="D4" s="36" t="s">
        <v>8</v>
      </c>
      <c r="E4" s="37" t="s">
        <v>9</v>
      </c>
    </row>
    <row r="5" spans="2:7" ht="15" x14ac:dyDescent="0.3">
      <c r="B5" s="18" t="s">
        <v>311</v>
      </c>
      <c r="C5" s="19" t="s">
        <v>403</v>
      </c>
      <c r="D5" s="18">
        <v>8</v>
      </c>
      <c r="E5" s="19" t="s">
        <v>2</v>
      </c>
      <c r="F5" s="39"/>
    </row>
    <row r="6" spans="2:7" ht="16.2" x14ac:dyDescent="0.3">
      <c r="B6" s="18" t="s">
        <v>312</v>
      </c>
      <c r="C6" s="19" t="s">
        <v>404</v>
      </c>
      <c r="D6" s="18">
        <v>340</v>
      </c>
      <c r="E6" s="19" t="s">
        <v>303</v>
      </c>
    </row>
    <row r="7" spans="2:7" x14ac:dyDescent="0.25">
      <c r="B7" s="18" t="s">
        <v>313</v>
      </c>
      <c r="C7" s="19" t="s">
        <v>38</v>
      </c>
      <c r="D7" s="18">
        <v>18.170000000000002</v>
      </c>
      <c r="E7" s="19" t="s">
        <v>2</v>
      </c>
      <c r="F7" s="39"/>
    </row>
    <row r="8" spans="2:7" ht="14.4" x14ac:dyDescent="0.3">
      <c r="B8" s="89" t="s">
        <v>314</v>
      </c>
      <c r="C8" s="153"/>
      <c r="D8" s="157"/>
      <c r="E8" s="169"/>
      <c r="G8" s="23" t="s">
        <v>12</v>
      </c>
    </row>
    <row r="9" spans="2:7" x14ac:dyDescent="0.25">
      <c r="B9" s="18" t="s">
        <v>30</v>
      </c>
      <c r="C9" s="3"/>
      <c r="D9" s="19" t="s">
        <v>39</v>
      </c>
      <c r="E9" s="4"/>
    </row>
    <row r="10" spans="2:7" ht="15" x14ac:dyDescent="0.3">
      <c r="B10" s="18" t="s">
        <v>316</v>
      </c>
      <c r="C10" s="19" t="s">
        <v>405</v>
      </c>
      <c r="D10" s="18">
        <v>5</v>
      </c>
      <c r="E10" s="19" t="s">
        <v>2</v>
      </c>
    </row>
    <row r="11" spans="2:7" x14ac:dyDescent="0.25">
      <c r="B11" s="18" t="s">
        <v>31</v>
      </c>
      <c r="C11" s="19" t="s">
        <v>16</v>
      </c>
      <c r="D11" s="18">
        <v>9</v>
      </c>
      <c r="E11" s="19" t="s">
        <v>32</v>
      </c>
    </row>
    <row r="12" spans="2:7" ht="16.2" x14ac:dyDescent="0.3">
      <c r="B12" s="18" t="s">
        <v>33</v>
      </c>
      <c r="C12" s="19" t="s">
        <v>406</v>
      </c>
      <c r="D12" s="18">
        <v>175</v>
      </c>
      <c r="E12" s="19" t="s">
        <v>303</v>
      </c>
    </row>
    <row r="13" spans="2:7" x14ac:dyDescent="0.25">
      <c r="B13" s="7" t="s">
        <v>317</v>
      </c>
      <c r="C13" s="153"/>
      <c r="D13" s="157"/>
      <c r="E13" s="154"/>
    </row>
    <row r="14" spans="2:7" ht="16.2" x14ac:dyDescent="0.3">
      <c r="B14" s="7" t="s">
        <v>315</v>
      </c>
      <c r="C14" s="5" t="s">
        <v>407</v>
      </c>
      <c r="D14" s="7">
        <f>D12+50</f>
        <v>225</v>
      </c>
      <c r="E14" s="182" t="s">
        <v>303</v>
      </c>
    </row>
    <row r="15" spans="2:7" x14ac:dyDescent="0.25">
      <c r="B15" s="18" t="s">
        <v>314</v>
      </c>
      <c r="C15" s="19" t="s">
        <v>37</v>
      </c>
      <c r="D15" s="18">
        <v>9.1349999999999998</v>
      </c>
      <c r="E15" s="19" t="s">
        <v>2</v>
      </c>
    </row>
    <row r="16" spans="2:7" x14ac:dyDescent="0.25">
      <c r="B16" s="27" t="s">
        <v>318</v>
      </c>
      <c r="C16" s="19" t="s">
        <v>399</v>
      </c>
      <c r="D16" s="30">
        <v>13500</v>
      </c>
      <c r="E16" s="19" t="s">
        <v>34</v>
      </c>
    </row>
    <row r="17" spans="2:5" x14ac:dyDescent="0.25">
      <c r="B17" s="7" t="s">
        <v>400</v>
      </c>
      <c r="C17" s="184"/>
      <c r="D17" s="166"/>
      <c r="E17" s="155"/>
    </row>
    <row r="18" spans="2:5" x14ac:dyDescent="0.25">
      <c r="B18" s="28" t="s">
        <v>36</v>
      </c>
      <c r="C18" s="5" t="s">
        <v>35</v>
      </c>
      <c r="D18" s="29">
        <f>D16*(1-(100-D7)/(100-D15))</f>
        <v>1342.3485390414339</v>
      </c>
      <c r="E18" s="5" t="s">
        <v>34</v>
      </c>
    </row>
    <row r="19" spans="2:5" x14ac:dyDescent="0.25">
      <c r="B19" s="18" t="s">
        <v>319</v>
      </c>
      <c r="C19" s="19" t="s">
        <v>47</v>
      </c>
      <c r="D19" s="18">
        <v>300</v>
      </c>
      <c r="E19" s="19" t="s">
        <v>46</v>
      </c>
    </row>
    <row r="20" spans="2:5" x14ac:dyDescent="0.25">
      <c r="B20" s="25" t="s">
        <v>320</v>
      </c>
      <c r="C20" s="26" t="s">
        <v>48</v>
      </c>
      <c r="D20" s="31">
        <f>D18*D19</f>
        <v>402704.56171243015</v>
      </c>
      <c r="E20" s="26" t="s">
        <v>49</v>
      </c>
    </row>
    <row r="21" spans="2:5" x14ac:dyDescent="0.25">
      <c r="B21" s="27" t="s">
        <v>50</v>
      </c>
      <c r="C21" s="19" t="s">
        <v>74</v>
      </c>
      <c r="D21" s="18">
        <v>20</v>
      </c>
      <c r="E21" s="19" t="s">
        <v>51</v>
      </c>
    </row>
    <row r="22" spans="2:5" x14ac:dyDescent="0.25">
      <c r="B22" s="25" t="s">
        <v>52</v>
      </c>
      <c r="C22" s="184"/>
      <c r="D22" s="166"/>
      <c r="E22" s="155"/>
    </row>
    <row r="23" spans="2:5" x14ac:dyDescent="0.25">
      <c r="B23" s="25" t="s">
        <v>55</v>
      </c>
      <c r="C23" s="26" t="s">
        <v>54</v>
      </c>
      <c r="D23" s="32">
        <f>D20*D21</f>
        <v>8054091.2342486028</v>
      </c>
      <c r="E23" s="26" t="s">
        <v>53</v>
      </c>
    </row>
    <row r="24" spans="2:5" x14ac:dyDescent="0.25">
      <c r="B24" s="27" t="s">
        <v>56</v>
      </c>
      <c r="C24" s="19" t="s">
        <v>401</v>
      </c>
      <c r="D24" s="33">
        <v>120000</v>
      </c>
      <c r="E24" s="19" t="s">
        <v>53</v>
      </c>
    </row>
    <row r="25" spans="2:5" x14ac:dyDescent="0.25">
      <c r="B25" s="25" t="s">
        <v>57</v>
      </c>
      <c r="C25" s="26" t="s">
        <v>58</v>
      </c>
      <c r="D25" s="34">
        <f>D24/D23</f>
        <v>1.4899260079116209E-2</v>
      </c>
      <c r="E25" s="26" t="s">
        <v>59</v>
      </c>
    </row>
  </sheetData>
  <mergeCells count="1">
    <mergeCell ref="B1:E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3"/>
  <sheetViews>
    <sheetView topLeftCell="A49" zoomScale="85" zoomScaleNormal="85" workbookViewId="0">
      <selection activeCell="F49" sqref="F49"/>
    </sheetView>
  </sheetViews>
  <sheetFormatPr defaultRowHeight="13.8" x14ac:dyDescent="0.25"/>
  <cols>
    <col min="3" max="3" width="56.09765625" customWidth="1"/>
    <col min="4" max="4" width="10.3984375" customWidth="1"/>
    <col min="5" max="5" width="15" customWidth="1"/>
    <col min="6" max="6" width="13.09765625" customWidth="1"/>
  </cols>
  <sheetData>
    <row r="1" spans="2:9" ht="23.4" x14ac:dyDescent="0.6">
      <c r="C1" s="264" t="s">
        <v>408</v>
      </c>
      <c r="D1" s="265"/>
      <c r="E1" s="265"/>
      <c r="F1" s="266"/>
    </row>
    <row r="2" spans="2:9" ht="14.25" customHeight="1" x14ac:dyDescent="0.65">
      <c r="C2" s="190"/>
      <c r="D2" s="157"/>
      <c r="E2" s="157"/>
      <c r="F2" s="169"/>
    </row>
    <row r="3" spans="2:9" x14ac:dyDescent="0.25">
      <c r="B3" s="2"/>
      <c r="C3" s="36"/>
      <c r="D3" s="35" t="s">
        <v>7</v>
      </c>
      <c r="E3" s="36" t="s">
        <v>8</v>
      </c>
      <c r="F3" s="37" t="s">
        <v>9</v>
      </c>
    </row>
    <row r="4" spans="2:9" x14ac:dyDescent="0.25">
      <c r="B4" s="2"/>
      <c r="C4" s="64" t="s">
        <v>154</v>
      </c>
      <c r="D4" s="19" t="s">
        <v>26</v>
      </c>
      <c r="E4" s="91">
        <v>0.75770000000000004</v>
      </c>
      <c r="F4" s="188"/>
    </row>
    <row r="5" spans="2:9" x14ac:dyDescent="0.25">
      <c r="B5" s="2"/>
      <c r="C5" s="92" t="s">
        <v>69</v>
      </c>
      <c r="D5" s="237"/>
      <c r="E5" s="246"/>
      <c r="F5" s="154"/>
    </row>
    <row r="6" spans="2:9" x14ac:dyDescent="0.25">
      <c r="B6" s="2"/>
      <c r="C6" s="18" t="s">
        <v>65</v>
      </c>
      <c r="D6" s="157"/>
      <c r="E6" s="19" t="s">
        <v>66</v>
      </c>
      <c r="F6" s="138"/>
    </row>
    <row r="7" spans="2:9" x14ac:dyDescent="0.25">
      <c r="B7" s="2"/>
      <c r="C7" s="18" t="s">
        <v>383</v>
      </c>
      <c r="D7" s="19" t="s">
        <v>20</v>
      </c>
      <c r="E7" s="30">
        <v>5200</v>
      </c>
      <c r="F7" s="19" t="s">
        <v>82</v>
      </c>
      <c r="H7" t="s">
        <v>12</v>
      </c>
      <c r="I7" t="s">
        <v>12</v>
      </c>
    </row>
    <row r="8" spans="2:9" x14ac:dyDescent="0.25">
      <c r="B8" s="2"/>
      <c r="C8" s="18" t="s">
        <v>67</v>
      </c>
      <c r="D8" s="19" t="s">
        <v>68</v>
      </c>
      <c r="E8" s="30">
        <v>5</v>
      </c>
      <c r="F8" s="141" t="s">
        <v>81</v>
      </c>
    </row>
    <row r="9" spans="2:9" x14ac:dyDescent="0.25">
      <c r="B9" s="2"/>
      <c r="C9" s="18" t="s">
        <v>62</v>
      </c>
      <c r="D9" s="19" t="s">
        <v>71</v>
      </c>
      <c r="E9" s="30">
        <v>56000</v>
      </c>
      <c r="F9" s="19" t="s">
        <v>75</v>
      </c>
    </row>
    <row r="10" spans="2:9" x14ac:dyDescent="0.25">
      <c r="B10" s="2"/>
      <c r="C10" s="49" t="s">
        <v>80</v>
      </c>
      <c r="D10" s="157"/>
      <c r="E10" s="168"/>
      <c r="F10" s="154"/>
    </row>
    <row r="11" spans="2:9" x14ac:dyDescent="0.25">
      <c r="B11" s="2"/>
      <c r="C11" s="41" t="s">
        <v>378</v>
      </c>
      <c r="D11" s="157"/>
      <c r="E11" s="157"/>
      <c r="F11" s="169"/>
    </row>
    <row r="12" spans="2:9" x14ac:dyDescent="0.25">
      <c r="B12" s="2"/>
      <c r="C12" s="51" t="s">
        <v>379</v>
      </c>
      <c r="D12" s="44" t="s">
        <v>70</v>
      </c>
      <c r="E12" s="50">
        <f>(E7*E8+E9)/E7</f>
        <v>15.76923076923077</v>
      </c>
      <c r="F12" s="171" t="s">
        <v>81</v>
      </c>
    </row>
    <row r="13" spans="2:9" x14ac:dyDescent="0.25">
      <c r="C13" s="167"/>
      <c r="D13" s="157"/>
      <c r="E13" s="157"/>
      <c r="F13" s="169"/>
    </row>
    <row r="14" spans="2:9" x14ac:dyDescent="0.25">
      <c r="C14" s="18" t="s">
        <v>94</v>
      </c>
      <c r="D14" s="157"/>
      <c r="E14" s="157"/>
      <c r="F14" s="169"/>
    </row>
    <row r="15" spans="2:9" ht="15.6" x14ac:dyDescent="0.25">
      <c r="C15" s="55" t="s">
        <v>209</v>
      </c>
      <c r="D15" s="189" t="s">
        <v>15</v>
      </c>
      <c r="E15" s="55">
        <v>30</v>
      </c>
      <c r="F15" s="19" t="s">
        <v>303</v>
      </c>
    </row>
    <row r="16" spans="2:9" ht="15" x14ac:dyDescent="0.3">
      <c r="C16" s="55" t="s">
        <v>409</v>
      </c>
      <c r="D16" s="19" t="s">
        <v>85</v>
      </c>
      <c r="E16" s="55">
        <v>125.2</v>
      </c>
      <c r="F16" s="189" t="s">
        <v>11</v>
      </c>
    </row>
    <row r="17" spans="2:8" x14ac:dyDescent="0.25">
      <c r="C17" s="55" t="s">
        <v>96</v>
      </c>
      <c r="D17" s="189" t="s">
        <v>99</v>
      </c>
      <c r="E17" s="55">
        <v>215</v>
      </c>
      <c r="F17" s="189" t="s">
        <v>87</v>
      </c>
    </row>
    <row r="18" spans="2:8" x14ac:dyDescent="0.25">
      <c r="C18" s="55" t="s">
        <v>95</v>
      </c>
      <c r="D18" s="189" t="s">
        <v>103</v>
      </c>
      <c r="E18" s="55">
        <v>2000</v>
      </c>
      <c r="F18" s="189" t="s">
        <v>87</v>
      </c>
    </row>
    <row r="19" spans="2:8" x14ac:dyDescent="0.25">
      <c r="C19" s="7" t="s">
        <v>410</v>
      </c>
      <c r="D19" s="157"/>
      <c r="E19" s="157"/>
      <c r="F19" s="169"/>
    </row>
    <row r="20" spans="2:8" x14ac:dyDescent="0.25">
      <c r="C20" s="28" t="s">
        <v>323</v>
      </c>
      <c r="D20" s="5" t="s">
        <v>101</v>
      </c>
      <c r="E20" s="56">
        <f>E17/(E18-E17)</f>
        <v>0.12044817927170869</v>
      </c>
      <c r="F20" s="5" t="s">
        <v>2</v>
      </c>
    </row>
    <row r="21" spans="2:8" x14ac:dyDescent="0.25">
      <c r="C21" s="89" t="s">
        <v>411</v>
      </c>
      <c r="D21" s="142"/>
      <c r="E21" s="143"/>
      <c r="F21" s="162"/>
    </row>
    <row r="22" spans="2:8" x14ac:dyDescent="0.25">
      <c r="B22" s="2"/>
      <c r="C22" s="18" t="s">
        <v>5</v>
      </c>
      <c r="D22" s="19" t="s">
        <v>16</v>
      </c>
      <c r="E22" s="18">
        <v>9</v>
      </c>
      <c r="F22" s="19" t="s">
        <v>1</v>
      </c>
      <c r="H22" s="53"/>
    </row>
    <row r="23" spans="2:8" ht="15" x14ac:dyDescent="0.3">
      <c r="B23" s="2"/>
      <c r="C23" s="18" t="s">
        <v>384</v>
      </c>
      <c r="D23" s="19" t="s">
        <v>91</v>
      </c>
      <c r="E23" s="160">
        <v>2773.8</v>
      </c>
      <c r="F23" s="19" t="s">
        <v>11</v>
      </c>
    </row>
    <row r="24" spans="2:8" ht="15" x14ac:dyDescent="0.3">
      <c r="B24" s="2"/>
      <c r="C24" s="18" t="s">
        <v>385</v>
      </c>
      <c r="D24" s="19" t="s">
        <v>86</v>
      </c>
      <c r="E24" s="30">
        <v>741</v>
      </c>
      <c r="F24" s="19" t="s">
        <v>11</v>
      </c>
    </row>
    <row r="25" spans="2:8" x14ac:dyDescent="0.25">
      <c r="B25" s="2"/>
      <c r="C25" s="18" t="s">
        <v>386</v>
      </c>
      <c r="D25" s="19" t="s">
        <v>84</v>
      </c>
      <c r="E25" s="30">
        <v>20000</v>
      </c>
      <c r="F25" s="19" t="s">
        <v>377</v>
      </c>
    </row>
    <row r="26" spans="2:8" ht="15" x14ac:dyDescent="0.3">
      <c r="B26" s="2"/>
      <c r="C26" s="18" t="s">
        <v>298</v>
      </c>
      <c r="D26" s="19" t="s">
        <v>90</v>
      </c>
      <c r="E26" s="30">
        <v>2675</v>
      </c>
      <c r="F26" s="19" t="s">
        <v>11</v>
      </c>
    </row>
    <row r="27" spans="2:8" ht="15" x14ac:dyDescent="0.3">
      <c r="B27" s="2"/>
      <c r="C27" s="18" t="s">
        <v>299</v>
      </c>
      <c r="D27" s="19" t="s">
        <v>89</v>
      </c>
      <c r="E27" s="18">
        <v>419</v>
      </c>
      <c r="F27" s="19" t="s">
        <v>11</v>
      </c>
    </row>
    <row r="28" spans="2:8" x14ac:dyDescent="0.25">
      <c r="B28" s="2" t="s">
        <v>12</v>
      </c>
      <c r="C28" s="7" t="s">
        <v>387</v>
      </c>
      <c r="D28" s="157"/>
      <c r="E28" s="157"/>
      <c r="F28" s="169"/>
    </row>
    <row r="29" spans="2:8" ht="15" x14ac:dyDescent="0.3">
      <c r="B29" s="2"/>
      <c r="C29" s="4" t="s">
        <v>321</v>
      </c>
      <c r="D29" s="5" t="s">
        <v>35</v>
      </c>
      <c r="E29" s="6">
        <f>E25*(E24-E27)/(E26-E27)</f>
        <v>2854.6099290780144</v>
      </c>
      <c r="F29" s="5" t="s">
        <v>88</v>
      </c>
    </row>
    <row r="30" spans="2:8" x14ac:dyDescent="0.25">
      <c r="B30" s="2"/>
      <c r="C30" s="18" t="s">
        <v>412</v>
      </c>
      <c r="D30" s="19" t="s">
        <v>92</v>
      </c>
      <c r="E30" s="54">
        <v>26</v>
      </c>
      <c r="F30" s="19" t="s">
        <v>93</v>
      </c>
    </row>
    <row r="31" spans="2:8" x14ac:dyDescent="0.25">
      <c r="C31" s="7" t="s">
        <v>413</v>
      </c>
      <c r="D31" s="157"/>
      <c r="E31" s="157"/>
      <c r="F31" s="169"/>
    </row>
    <row r="32" spans="2:8" x14ac:dyDescent="0.25">
      <c r="C32" s="7" t="s">
        <v>322</v>
      </c>
      <c r="D32" s="5" t="s">
        <v>106</v>
      </c>
      <c r="E32" s="6">
        <f>(E25+E29)*E30</f>
        <v>594219.85815602844</v>
      </c>
      <c r="F32" s="5" t="s">
        <v>416</v>
      </c>
    </row>
    <row r="33" spans="3:6" x14ac:dyDescent="0.25">
      <c r="C33" s="167"/>
      <c r="D33" s="157"/>
      <c r="E33" s="157"/>
      <c r="F33" s="169"/>
    </row>
    <row r="34" spans="3:6" x14ac:dyDescent="0.25">
      <c r="C34" s="18" t="s">
        <v>100</v>
      </c>
      <c r="D34" s="153"/>
      <c r="E34" s="157"/>
      <c r="F34" s="169"/>
    </row>
    <row r="35" spans="3:6" x14ac:dyDescent="0.25">
      <c r="C35" s="55" t="s">
        <v>96</v>
      </c>
      <c r="D35" s="189" t="s">
        <v>98</v>
      </c>
      <c r="E35" s="55">
        <v>30</v>
      </c>
      <c r="F35" s="189" t="s">
        <v>87</v>
      </c>
    </row>
    <row r="36" spans="3:6" x14ac:dyDescent="0.25">
      <c r="C36" s="55" t="s">
        <v>95</v>
      </c>
      <c r="D36" s="189" t="s">
        <v>102</v>
      </c>
      <c r="E36" s="55">
        <v>3500</v>
      </c>
      <c r="F36" s="189" t="s">
        <v>87</v>
      </c>
    </row>
    <row r="37" spans="3:6" x14ac:dyDescent="0.25">
      <c r="C37" s="7" t="s">
        <v>410</v>
      </c>
      <c r="D37" s="157"/>
      <c r="E37" s="157"/>
      <c r="F37" s="169"/>
    </row>
    <row r="38" spans="3:6" x14ac:dyDescent="0.25">
      <c r="C38" s="28" t="s">
        <v>324</v>
      </c>
      <c r="D38" s="5" t="s">
        <v>104</v>
      </c>
      <c r="E38" s="56">
        <f>E35/(E36-E35)</f>
        <v>8.6455331412103754E-3</v>
      </c>
      <c r="F38" s="5" t="s">
        <v>2</v>
      </c>
    </row>
    <row r="39" spans="3:6" x14ac:dyDescent="0.25">
      <c r="C39" s="167"/>
      <c r="D39" s="153"/>
      <c r="E39" s="157"/>
      <c r="F39" s="169"/>
    </row>
    <row r="40" spans="3:6" x14ac:dyDescent="0.25">
      <c r="C40" s="60" t="s">
        <v>414</v>
      </c>
      <c r="D40" s="157"/>
      <c r="E40" s="157"/>
      <c r="F40" s="169"/>
    </row>
    <row r="41" spans="3:6" x14ac:dyDescent="0.25">
      <c r="C41" s="58" t="s">
        <v>415</v>
      </c>
      <c r="D41" s="57" t="s">
        <v>105</v>
      </c>
      <c r="E41" s="59">
        <f>E32*(1-E38/E20)</f>
        <v>551567.92677843268</v>
      </c>
      <c r="F41" s="57" t="s">
        <v>416</v>
      </c>
    </row>
    <row r="42" spans="3:6" x14ac:dyDescent="0.25">
      <c r="C42" s="167"/>
      <c r="D42" s="153"/>
      <c r="E42" s="157"/>
      <c r="F42" s="169"/>
    </row>
    <row r="43" spans="3:6" x14ac:dyDescent="0.25">
      <c r="C43" s="60" t="s">
        <v>417</v>
      </c>
      <c r="D43" s="157"/>
      <c r="E43" s="157"/>
      <c r="F43" s="169"/>
    </row>
    <row r="44" spans="3:6" x14ac:dyDescent="0.25">
      <c r="C44" s="58" t="s">
        <v>418</v>
      </c>
      <c r="D44" s="57" t="s">
        <v>107</v>
      </c>
      <c r="E44" s="59">
        <f>E41*E12/1000</f>
        <v>8697.8019222752846</v>
      </c>
      <c r="F44" s="57" t="s">
        <v>75</v>
      </c>
    </row>
    <row r="45" spans="3:6" x14ac:dyDescent="0.25">
      <c r="C45" s="191"/>
      <c r="D45" s="192"/>
      <c r="E45" s="157"/>
      <c r="F45" s="169"/>
    </row>
    <row r="46" spans="3:6" x14ac:dyDescent="0.25">
      <c r="C46" s="18" t="s">
        <v>108</v>
      </c>
      <c r="D46" s="142"/>
      <c r="E46" s="143"/>
      <c r="F46" s="162"/>
    </row>
    <row r="47" spans="3:6" x14ac:dyDescent="0.25">
      <c r="C47" s="18" t="s">
        <v>109</v>
      </c>
      <c r="D47" s="224"/>
      <c r="E47" s="19" t="s">
        <v>110</v>
      </c>
      <c r="F47" s="19" t="s">
        <v>63</v>
      </c>
    </row>
    <row r="48" spans="3:6" x14ac:dyDescent="0.25">
      <c r="C48" s="18" t="s">
        <v>143</v>
      </c>
      <c r="D48" s="19" t="s">
        <v>25</v>
      </c>
      <c r="E48" s="18">
        <v>39.770000000000003</v>
      </c>
      <c r="F48" s="19" t="s">
        <v>355</v>
      </c>
    </row>
    <row r="49" spans="3:6" x14ac:dyDescent="0.25">
      <c r="C49" s="18" t="s">
        <v>144</v>
      </c>
      <c r="D49" s="19" t="s">
        <v>74</v>
      </c>
      <c r="E49" s="18">
        <v>20</v>
      </c>
      <c r="F49" s="19" t="s">
        <v>354</v>
      </c>
    </row>
    <row r="50" spans="3:6" x14ac:dyDescent="0.25">
      <c r="C50" s="167"/>
      <c r="D50" s="153"/>
      <c r="E50" s="157"/>
      <c r="F50" s="169"/>
    </row>
    <row r="51" spans="3:6" x14ac:dyDescent="0.25">
      <c r="C51" s="60" t="s">
        <v>419</v>
      </c>
      <c r="D51" s="157"/>
      <c r="E51" s="157"/>
      <c r="F51" s="169"/>
    </row>
    <row r="52" spans="3:6" ht="15" x14ac:dyDescent="0.3">
      <c r="C52" s="58" t="s">
        <v>420</v>
      </c>
      <c r="D52" s="57" t="s">
        <v>113</v>
      </c>
      <c r="E52" s="59">
        <f>E41*(E24-E16)/(1000*E48*E4)</f>
        <v>11271.606289090832</v>
      </c>
      <c r="F52" s="57" t="s">
        <v>353</v>
      </c>
    </row>
    <row r="53" spans="3:6" x14ac:dyDescent="0.25">
      <c r="C53" s="167"/>
      <c r="D53" s="153"/>
      <c r="E53" s="157"/>
      <c r="F53" s="169"/>
    </row>
    <row r="54" spans="3:6" x14ac:dyDescent="0.25">
      <c r="C54" s="60" t="s">
        <v>108</v>
      </c>
      <c r="D54" s="157"/>
      <c r="E54" s="157"/>
      <c r="F54" s="169"/>
    </row>
    <row r="55" spans="3:6" x14ac:dyDescent="0.25">
      <c r="C55" s="58" t="s">
        <v>325</v>
      </c>
      <c r="D55" s="57" t="s">
        <v>77</v>
      </c>
      <c r="E55" s="59">
        <f>E52*E49</f>
        <v>225432.12578181666</v>
      </c>
      <c r="F55" s="57" t="s">
        <v>75</v>
      </c>
    </row>
    <row r="56" spans="3:6" x14ac:dyDescent="0.25">
      <c r="C56" s="167"/>
      <c r="D56" s="153"/>
      <c r="E56" s="157"/>
      <c r="F56" s="169"/>
    </row>
    <row r="57" spans="3:6" x14ac:dyDescent="0.25">
      <c r="C57" s="60" t="s">
        <v>421</v>
      </c>
      <c r="D57" s="157"/>
      <c r="E57" s="157"/>
      <c r="F57" s="169"/>
    </row>
    <row r="58" spans="3:6" x14ac:dyDescent="0.25">
      <c r="C58" s="58" t="s">
        <v>326</v>
      </c>
      <c r="D58" s="57" t="s">
        <v>115</v>
      </c>
      <c r="E58" s="59">
        <f>E55+E44</f>
        <v>234129.92770409194</v>
      </c>
      <c r="F58" s="57" t="s">
        <v>75</v>
      </c>
    </row>
    <row r="59" spans="3:6" x14ac:dyDescent="0.25">
      <c r="C59" s="167"/>
      <c r="D59" s="153"/>
      <c r="E59" s="157"/>
      <c r="F59" s="169"/>
    </row>
    <row r="60" spans="3:6" x14ac:dyDescent="0.25">
      <c r="C60" s="18" t="s">
        <v>114</v>
      </c>
      <c r="D60" s="19" t="s">
        <v>117</v>
      </c>
      <c r="E60" s="46">
        <v>2000000</v>
      </c>
      <c r="F60" s="19" t="s">
        <v>64</v>
      </c>
    </row>
    <row r="61" spans="3:6" x14ac:dyDescent="0.25">
      <c r="C61" s="167"/>
      <c r="D61" s="153"/>
      <c r="E61" s="157"/>
      <c r="F61" s="169"/>
    </row>
    <row r="62" spans="3:6" x14ac:dyDescent="0.25">
      <c r="C62" s="60" t="s">
        <v>116</v>
      </c>
      <c r="D62" s="157"/>
      <c r="E62" s="157"/>
      <c r="F62" s="169"/>
    </row>
    <row r="63" spans="3:6" x14ac:dyDescent="0.25">
      <c r="C63" s="58" t="s">
        <v>327</v>
      </c>
      <c r="D63" s="57" t="s">
        <v>58</v>
      </c>
      <c r="E63" s="59">
        <f>E60/(E58*12)</f>
        <v>0.71185545692949781</v>
      </c>
      <c r="F63" s="57" t="s">
        <v>59</v>
      </c>
    </row>
  </sheetData>
  <mergeCells count="1">
    <mergeCell ref="C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8"/>
  <sheetViews>
    <sheetView topLeftCell="A52" zoomScaleNormal="100" workbookViewId="0">
      <selection activeCell="C57" sqref="C57"/>
    </sheetView>
  </sheetViews>
  <sheetFormatPr defaultRowHeight="13.8" x14ac:dyDescent="0.25"/>
  <cols>
    <col min="2" max="2" width="4" customWidth="1"/>
    <col min="3" max="3" width="64.8984375" customWidth="1"/>
    <col min="4" max="4" width="10.09765625" style="2" customWidth="1"/>
    <col min="5" max="5" width="13.3984375" bestFit="1" customWidth="1"/>
    <col min="6" max="6" width="13.3984375" style="2" customWidth="1"/>
  </cols>
  <sheetData>
    <row r="1" spans="2:6" ht="23.4" x14ac:dyDescent="0.6">
      <c r="C1" s="264" t="s">
        <v>211</v>
      </c>
      <c r="D1" s="265"/>
      <c r="E1" s="265"/>
      <c r="F1" s="266"/>
    </row>
    <row r="2" spans="2:6" x14ac:dyDescent="0.25">
      <c r="B2" s="2"/>
      <c r="C2" s="187"/>
      <c r="D2" s="144"/>
      <c r="E2" s="143"/>
      <c r="F2" s="145"/>
    </row>
    <row r="3" spans="2:6" x14ac:dyDescent="0.25">
      <c r="B3" s="2"/>
      <c r="C3" s="187"/>
      <c r="D3" s="35" t="s">
        <v>7</v>
      </c>
      <c r="E3" s="36" t="s">
        <v>8</v>
      </c>
      <c r="F3" s="37" t="s">
        <v>9</v>
      </c>
    </row>
    <row r="4" spans="2:6" x14ac:dyDescent="0.25">
      <c r="B4" s="2"/>
      <c r="C4" s="92" t="s">
        <v>137</v>
      </c>
      <c r="D4" s="178"/>
      <c r="E4" s="143"/>
      <c r="F4" s="145"/>
    </row>
    <row r="5" spans="2:6" x14ac:dyDescent="0.25">
      <c r="B5" s="2"/>
      <c r="C5" s="64" t="s">
        <v>154</v>
      </c>
      <c r="D5" s="19" t="s">
        <v>26</v>
      </c>
      <c r="E5" s="61">
        <v>0.75700000000000001</v>
      </c>
      <c r="F5" s="19" t="s">
        <v>12</v>
      </c>
    </row>
    <row r="6" spans="2:6" x14ac:dyDescent="0.25">
      <c r="B6" s="2"/>
      <c r="C6" s="64" t="s">
        <v>139</v>
      </c>
      <c r="D6" s="19" t="s">
        <v>138</v>
      </c>
      <c r="E6" s="62">
        <v>16</v>
      </c>
      <c r="F6" s="19" t="s">
        <v>60</v>
      </c>
    </row>
    <row r="7" spans="2:6" x14ac:dyDescent="0.25">
      <c r="B7" s="2"/>
      <c r="C7" s="64" t="s">
        <v>140</v>
      </c>
      <c r="D7" s="19" t="s">
        <v>47</v>
      </c>
      <c r="E7" s="62">
        <v>300</v>
      </c>
      <c r="F7" s="19" t="s">
        <v>46</v>
      </c>
    </row>
    <row r="8" spans="2:6" x14ac:dyDescent="0.25">
      <c r="B8" s="2"/>
      <c r="C8" s="64" t="s">
        <v>109</v>
      </c>
      <c r="D8" s="19"/>
      <c r="E8" s="62" t="s">
        <v>142</v>
      </c>
      <c r="F8" s="19"/>
    </row>
    <row r="9" spans="2:6" x14ac:dyDescent="0.25">
      <c r="B9" s="2"/>
      <c r="C9" s="64" t="s">
        <v>111</v>
      </c>
      <c r="D9" s="19"/>
      <c r="E9" s="62" t="s">
        <v>63</v>
      </c>
      <c r="F9" s="19"/>
    </row>
    <row r="10" spans="2:6" x14ac:dyDescent="0.25">
      <c r="B10" s="2"/>
      <c r="C10" s="64" t="s">
        <v>143</v>
      </c>
      <c r="D10" s="19" t="s">
        <v>153</v>
      </c>
      <c r="E10" s="63">
        <v>39.770000000000003</v>
      </c>
      <c r="F10" s="19" t="s">
        <v>112</v>
      </c>
    </row>
    <row r="11" spans="2:6" x14ac:dyDescent="0.25">
      <c r="B11" s="2"/>
      <c r="C11" s="64" t="s">
        <v>144</v>
      </c>
      <c r="D11" s="19" t="s">
        <v>0</v>
      </c>
      <c r="E11" s="62">
        <v>20</v>
      </c>
      <c r="F11" s="19" t="s">
        <v>64</v>
      </c>
    </row>
    <row r="12" spans="2:6" x14ac:dyDescent="0.25">
      <c r="B12" s="2"/>
      <c r="C12" s="198"/>
      <c r="D12" s="153"/>
      <c r="E12" s="195"/>
      <c r="F12" s="154"/>
    </row>
    <row r="13" spans="2:6" x14ac:dyDescent="0.25">
      <c r="C13" s="89" t="s">
        <v>121</v>
      </c>
      <c r="D13" s="187"/>
      <c r="E13" s="144"/>
      <c r="F13" s="225"/>
    </row>
    <row r="14" spans="2:6" x14ac:dyDescent="0.25">
      <c r="C14" s="18" t="s">
        <v>127</v>
      </c>
      <c r="D14" s="19" t="s">
        <v>16</v>
      </c>
      <c r="E14" s="18">
        <v>7</v>
      </c>
      <c r="F14" s="19" t="s">
        <v>32</v>
      </c>
    </row>
    <row r="15" spans="2:6" ht="15.6" x14ac:dyDescent="0.25">
      <c r="C15" s="18" t="s">
        <v>146</v>
      </c>
      <c r="D15" s="19" t="s">
        <v>15</v>
      </c>
      <c r="E15" s="18">
        <v>160</v>
      </c>
      <c r="F15" s="19" t="s">
        <v>303</v>
      </c>
    </row>
    <row r="16" spans="2:6" ht="15.6" x14ac:dyDescent="0.25">
      <c r="C16" s="18" t="s">
        <v>423</v>
      </c>
      <c r="D16" s="19" t="s">
        <v>130</v>
      </c>
      <c r="E16" s="18">
        <v>120</v>
      </c>
      <c r="F16" s="19" t="s">
        <v>303</v>
      </c>
    </row>
    <row r="17" spans="3:6" x14ac:dyDescent="0.25">
      <c r="C17" s="18" t="s">
        <v>128</v>
      </c>
      <c r="D17" s="19" t="s">
        <v>97</v>
      </c>
      <c r="E17" s="18">
        <v>2</v>
      </c>
      <c r="F17" s="19" t="s">
        <v>122</v>
      </c>
    </row>
    <row r="18" spans="3:6" x14ac:dyDescent="0.25">
      <c r="C18" s="18" t="s">
        <v>129</v>
      </c>
      <c r="D18" s="19" t="s">
        <v>131</v>
      </c>
      <c r="E18" s="18">
        <v>3</v>
      </c>
      <c r="F18" s="19" t="s">
        <v>122</v>
      </c>
    </row>
    <row r="19" spans="3:6" x14ac:dyDescent="0.25">
      <c r="C19" s="18" t="s">
        <v>328</v>
      </c>
      <c r="D19" s="19" t="s">
        <v>123</v>
      </c>
      <c r="E19" s="18">
        <v>0.39</v>
      </c>
      <c r="F19" s="19" t="s">
        <v>422</v>
      </c>
    </row>
    <row r="20" spans="3:6" x14ac:dyDescent="0.25">
      <c r="C20" s="253" t="s">
        <v>329</v>
      </c>
      <c r="D20" s="247"/>
      <c r="E20" s="248"/>
      <c r="F20" s="148"/>
    </row>
    <row r="21" spans="3:6" x14ac:dyDescent="0.25">
      <c r="C21" s="254" t="s">
        <v>424</v>
      </c>
      <c r="D21" s="249"/>
      <c r="E21" s="250"/>
      <c r="F21" s="154"/>
    </row>
    <row r="22" spans="3:6" x14ac:dyDescent="0.25">
      <c r="C22" s="255" t="s">
        <v>425</v>
      </c>
      <c r="D22" s="251"/>
      <c r="E22" s="252"/>
      <c r="F22" s="155"/>
    </row>
    <row r="23" spans="3:6" x14ac:dyDescent="0.25">
      <c r="C23" s="18" t="s">
        <v>134</v>
      </c>
      <c r="D23" s="19"/>
      <c r="E23" s="18">
        <v>50</v>
      </c>
      <c r="F23" s="19" t="s">
        <v>136</v>
      </c>
    </row>
    <row r="24" spans="3:6" x14ac:dyDescent="0.25">
      <c r="C24" s="18" t="s">
        <v>158</v>
      </c>
      <c r="D24" s="19"/>
      <c r="E24" s="18">
        <v>2</v>
      </c>
      <c r="F24" s="19" t="s">
        <v>136</v>
      </c>
    </row>
    <row r="25" spans="3:6" x14ac:dyDescent="0.25">
      <c r="C25" s="193" t="s">
        <v>159</v>
      </c>
      <c r="D25" s="19"/>
      <c r="E25" s="18">
        <v>1</v>
      </c>
      <c r="F25" s="19" t="s">
        <v>136</v>
      </c>
    </row>
    <row r="26" spans="3:6" x14ac:dyDescent="0.25">
      <c r="C26" s="7" t="s">
        <v>160</v>
      </c>
      <c r="D26" s="5" t="s">
        <v>135</v>
      </c>
      <c r="E26" s="7">
        <f>E23+0.4*E24+1.2*E25</f>
        <v>52</v>
      </c>
      <c r="F26" s="182" t="s">
        <v>136</v>
      </c>
    </row>
    <row r="27" spans="3:6" x14ac:dyDescent="0.25">
      <c r="C27" s="7" t="s">
        <v>426</v>
      </c>
      <c r="D27" s="194"/>
      <c r="E27" s="153"/>
      <c r="F27" s="199"/>
    </row>
    <row r="28" spans="3:6" x14ac:dyDescent="0.25">
      <c r="C28" s="7" t="s">
        <v>427</v>
      </c>
      <c r="D28" s="5" t="s">
        <v>141</v>
      </c>
      <c r="E28" s="52">
        <f>E19*E26*E6*E7</f>
        <v>97344</v>
      </c>
      <c r="F28" s="182" t="s">
        <v>145</v>
      </c>
    </row>
    <row r="29" spans="3:6" x14ac:dyDescent="0.25">
      <c r="C29" s="198"/>
      <c r="D29" s="153"/>
      <c r="E29" s="195"/>
      <c r="F29" s="154"/>
    </row>
    <row r="30" spans="3:6" x14ac:dyDescent="0.25">
      <c r="C30" s="89" t="s">
        <v>428</v>
      </c>
      <c r="D30" s="187"/>
      <c r="E30" s="144"/>
      <c r="F30" s="225"/>
    </row>
    <row r="31" spans="3:6" x14ac:dyDescent="0.25">
      <c r="C31" s="18" t="s">
        <v>429</v>
      </c>
      <c r="D31" s="19" t="s">
        <v>124</v>
      </c>
      <c r="E31" s="18">
        <v>1.5</v>
      </c>
      <c r="F31" s="19" t="s">
        <v>122</v>
      </c>
    </row>
    <row r="32" spans="3:6" x14ac:dyDescent="0.25">
      <c r="C32" s="27" t="s">
        <v>430</v>
      </c>
      <c r="D32" s="19"/>
      <c r="E32" s="18">
        <v>38</v>
      </c>
      <c r="F32" s="19" t="s">
        <v>125</v>
      </c>
    </row>
    <row r="33" spans="3:6" x14ac:dyDescent="0.25">
      <c r="C33" s="257" t="s">
        <v>431</v>
      </c>
      <c r="D33" s="153"/>
      <c r="E33" s="195"/>
      <c r="F33" s="154"/>
    </row>
    <row r="34" spans="3:6" x14ac:dyDescent="0.25">
      <c r="C34" s="256"/>
      <c r="D34" s="153"/>
      <c r="E34" s="195"/>
      <c r="F34" s="154"/>
    </row>
    <row r="35" spans="3:6" x14ac:dyDescent="0.25">
      <c r="C35" s="18" t="s">
        <v>432</v>
      </c>
      <c r="D35" s="19"/>
      <c r="E35" s="19" t="s">
        <v>126</v>
      </c>
      <c r="F35" s="19"/>
    </row>
    <row r="36" spans="3:6" x14ac:dyDescent="0.25">
      <c r="C36" s="18" t="s">
        <v>330</v>
      </c>
      <c r="D36" s="19" t="s">
        <v>147</v>
      </c>
      <c r="E36" s="18">
        <v>36.76</v>
      </c>
      <c r="F36" s="19" t="s">
        <v>132</v>
      </c>
    </row>
    <row r="37" spans="3:6" x14ac:dyDescent="0.25">
      <c r="C37" s="18" t="s">
        <v>433</v>
      </c>
      <c r="D37" s="230"/>
      <c r="E37" s="7">
        <f>E36/1000</f>
        <v>3.6760000000000001E-2</v>
      </c>
      <c r="F37" s="182" t="s">
        <v>133</v>
      </c>
    </row>
    <row r="38" spans="3:6" x14ac:dyDescent="0.25">
      <c r="C38" s="198"/>
      <c r="D38" s="153"/>
      <c r="E38" s="195"/>
      <c r="F38" s="154"/>
    </row>
    <row r="39" spans="3:6" ht="15.6" x14ac:dyDescent="0.25">
      <c r="C39" s="18" t="s">
        <v>434</v>
      </c>
      <c r="D39" s="19"/>
      <c r="E39" s="18">
        <v>44.23</v>
      </c>
      <c r="F39" s="19" t="s">
        <v>303</v>
      </c>
    </row>
    <row r="40" spans="3:6" x14ac:dyDescent="0.25">
      <c r="C40" s="198"/>
      <c r="D40" s="153"/>
      <c r="E40" s="195"/>
      <c r="F40" s="154"/>
    </row>
    <row r="41" spans="3:6" x14ac:dyDescent="0.25">
      <c r="C41" s="7" t="s">
        <v>331</v>
      </c>
      <c r="D41" s="194"/>
      <c r="E41" s="153"/>
      <c r="F41" s="199"/>
    </row>
    <row r="42" spans="3:6" x14ac:dyDescent="0.25">
      <c r="C42" s="7" t="s">
        <v>333</v>
      </c>
      <c r="D42" s="5" t="s">
        <v>148</v>
      </c>
      <c r="E42" s="52">
        <f>E37*E26*E6*E7</f>
        <v>9175.2960000000003</v>
      </c>
      <c r="F42" s="182" t="s">
        <v>145</v>
      </c>
    </row>
    <row r="43" spans="3:6" x14ac:dyDescent="0.25">
      <c r="C43" s="198"/>
      <c r="D43" s="153"/>
      <c r="E43" s="195"/>
      <c r="F43" s="154"/>
    </row>
    <row r="44" spans="3:6" x14ac:dyDescent="0.25">
      <c r="C44" s="89" t="s">
        <v>332</v>
      </c>
      <c r="D44" s="226"/>
      <c r="E44" s="159"/>
      <c r="F44" s="227"/>
    </row>
    <row r="45" spans="3:6" x14ac:dyDescent="0.25">
      <c r="C45" s="7" t="s">
        <v>150</v>
      </c>
      <c r="D45" s="194"/>
      <c r="E45" s="153"/>
      <c r="F45" s="199"/>
    </row>
    <row r="46" spans="3:6" x14ac:dyDescent="0.25">
      <c r="C46" s="7" t="s">
        <v>435</v>
      </c>
      <c r="D46" s="5" t="s">
        <v>149</v>
      </c>
      <c r="E46" s="52">
        <f>E28-E42</f>
        <v>88168.703999999998</v>
      </c>
      <c r="F46" s="182" t="s">
        <v>145</v>
      </c>
    </row>
    <row r="47" spans="3:6" x14ac:dyDescent="0.25">
      <c r="C47" s="7" t="s">
        <v>437</v>
      </c>
      <c r="D47" s="40"/>
      <c r="E47" s="197">
        <f>E46*3.6</f>
        <v>317407.33439999999</v>
      </c>
      <c r="F47" s="182" t="s">
        <v>151</v>
      </c>
    </row>
    <row r="48" spans="3:6" x14ac:dyDescent="0.25">
      <c r="C48" s="198"/>
      <c r="D48" s="153"/>
      <c r="E48" s="195"/>
      <c r="F48" s="154"/>
    </row>
    <row r="49" spans="3:6" x14ac:dyDescent="0.25">
      <c r="C49" s="7" t="s">
        <v>400</v>
      </c>
      <c r="D49" s="194"/>
      <c r="E49" s="153"/>
      <c r="F49" s="199"/>
    </row>
    <row r="50" spans="3:6" x14ac:dyDescent="0.25">
      <c r="C50" s="7" t="s">
        <v>436</v>
      </c>
      <c r="D50" s="5" t="s">
        <v>35</v>
      </c>
      <c r="E50" s="52">
        <f>E47/E10/E5</f>
        <v>10543.03109457983</v>
      </c>
      <c r="F50" s="65" t="s">
        <v>356</v>
      </c>
    </row>
    <row r="51" spans="3:6" x14ac:dyDescent="0.25">
      <c r="C51" s="198"/>
      <c r="D51" s="153"/>
      <c r="E51" s="195"/>
      <c r="F51" s="154"/>
    </row>
    <row r="52" spans="3:6" x14ac:dyDescent="0.25">
      <c r="C52" s="7" t="s">
        <v>438</v>
      </c>
      <c r="D52" s="194"/>
      <c r="E52" s="153"/>
      <c r="F52" s="199"/>
    </row>
    <row r="53" spans="3:6" x14ac:dyDescent="0.25">
      <c r="C53" s="7" t="s">
        <v>155</v>
      </c>
      <c r="D53" s="5" t="s">
        <v>77</v>
      </c>
      <c r="E53" s="52">
        <f>E50*E11</f>
        <v>210860.62189159659</v>
      </c>
      <c r="F53" s="182" t="s">
        <v>53</v>
      </c>
    </row>
    <row r="54" spans="3:6" x14ac:dyDescent="0.25">
      <c r="C54" s="198"/>
      <c r="D54" s="153"/>
      <c r="E54" s="195"/>
      <c r="F54" s="154"/>
    </row>
    <row r="55" spans="3:6" x14ac:dyDescent="0.25">
      <c r="C55" s="18" t="s">
        <v>156</v>
      </c>
      <c r="D55" s="19" t="s">
        <v>117</v>
      </c>
      <c r="E55" s="46">
        <v>50000</v>
      </c>
      <c r="F55" s="19" t="s">
        <v>64</v>
      </c>
    </row>
    <row r="56" spans="3:6" x14ac:dyDescent="0.25">
      <c r="C56" s="198"/>
      <c r="D56" s="153"/>
      <c r="E56" s="195"/>
      <c r="F56" s="154"/>
    </row>
    <row r="57" spans="3:6" x14ac:dyDescent="0.25">
      <c r="C57" s="7" t="s">
        <v>116</v>
      </c>
      <c r="D57" s="194"/>
      <c r="E57" s="153"/>
      <c r="F57" s="199"/>
    </row>
    <row r="58" spans="3:6" x14ac:dyDescent="0.25">
      <c r="C58" s="7" t="s">
        <v>157</v>
      </c>
      <c r="D58" s="5" t="s">
        <v>58</v>
      </c>
      <c r="E58" s="52">
        <f>E55/E53</f>
        <v>0.23712345885854871</v>
      </c>
      <c r="F58" s="182" t="s">
        <v>59</v>
      </c>
    </row>
  </sheetData>
  <mergeCells count="1">
    <mergeCell ref="C1:F1"/>
  </mergeCells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7"/>
  <sheetViews>
    <sheetView topLeftCell="A16" workbookViewId="0">
      <selection activeCell="B1" sqref="B1:J16"/>
    </sheetView>
  </sheetViews>
  <sheetFormatPr defaultRowHeight="13.8" x14ac:dyDescent="0.25"/>
  <cols>
    <col min="1" max="1" width="4.09765625" customWidth="1"/>
    <col min="2" max="2" width="24.59765625" customWidth="1"/>
    <col min="3" max="3" width="13.8984375" bestFit="1" customWidth="1"/>
    <col min="4" max="4" width="13.8984375" style="2" bestFit="1" customWidth="1"/>
    <col min="5" max="5" width="13.3984375" customWidth="1"/>
    <col min="6" max="6" width="13.8984375" style="2" bestFit="1" customWidth="1"/>
    <col min="7" max="9" width="13.8984375" bestFit="1" customWidth="1"/>
    <col min="10" max="10" width="14.09765625" customWidth="1"/>
    <col min="11" max="11" width="12.8984375" customWidth="1"/>
  </cols>
  <sheetData>
    <row r="1" spans="2:11" ht="23.4" x14ac:dyDescent="0.6">
      <c r="B1" s="264" t="s">
        <v>362</v>
      </c>
      <c r="C1" s="265"/>
      <c r="D1" s="265"/>
      <c r="E1" s="265"/>
      <c r="F1" s="265"/>
      <c r="G1" s="265"/>
      <c r="H1" s="265"/>
      <c r="I1" s="265"/>
      <c r="J1" s="266"/>
    </row>
    <row r="2" spans="2:11" x14ac:dyDescent="0.25">
      <c r="B2" s="146"/>
      <c r="C2" s="183"/>
      <c r="D2" s="159"/>
      <c r="E2" s="183"/>
      <c r="F2" s="159"/>
      <c r="G2" s="183"/>
      <c r="H2" s="183"/>
      <c r="I2" s="183"/>
      <c r="J2" s="186"/>
    </row>
    <row r="3" spans="2:11" x14ac:dyDescent="0.25">
      <c r="B3" s="167" t="s">
        <v>212</v>
      </c>
      <c r="C3" s="157"/>
      <c r="D3" s="153"/>
      <c r="E3" s="157"/>
      <c r="F3" s="153"/>
      <c r="G3" s="157"/>
      <c r="H3" s="157"/>
      <c r="I3" s="157"/>
      <c r="J3" s="169"/>
    </row>
    <row r="4" spans="2:11" x14ac:dyDescent="0.25">
      <c r="B4" s="164"/>
      <c r="C4" s="166"/>
      <c r="D4" s="185"/>
      <c r="E4" s="166"/>
      <c r="F4" s="185"/>
      <c r="G4" s="166"/>
      <c r="H4" s="166"/>
      <c r="I4" s="166"/>
      <c r="J4" s="149"/>
    </row>
    <row r="5" spans="2:11" x14ac:dyDescent="0.25">
      <c r="B5" s="89" t="s">
        <v>334</v>
      </c>
      <c r="C5" s="137">
        <v>1</v>
      </c>
      <c r="D5" s="137">
        <v>2</v>
      </c>
      <c r="E5" s="137">
        <v>3</v>
      </c>
      <c r="F5" s="137">
        <v>4</v>
      </c>
      <c r="G5" s="137">
        <v>5</v>
      </c>
      <c r="H5" s="137">
        <v>6</v>
      </c>
      <c r="I5" s="137">
        <v>7</v>
      </c>
      <c r="J5" s="137">
        <v>8</v>
      </c>
      <c r="K5" t="s">
        <v>12</v>
      </c>
    </row>
    <row r="6" spans="2:11" x14ac:dyDescent="0.25">
      <c r="B6" s="58" t="s">
        <v>163</v>
      </c>
      <c r="C6" s="228" t="s">
        <v>335</v>
      </c>
      <c r="D6" s="228" t="s">
        <v>335</v>
      </c>
      <c r="E6" s="228" t="s">
        <v>335</v>
      </c>
      <c r="F6" s="228" t="s">
        <v>335</v>
      </c>
      <c r="G6" s="228" t="s">
        <v>335</v>
      </c>
      <c r="H6" s="229" t="s">
        <v>167</v>
      </c>
      <c r="I6" s="229" t="s">
        <v>167</v>
      </c>
      <c r="J6" s="229" t="s">
        <v>167</v>
      </c>
    </row>
    <row r="7" spans="2:11" x14ac:dyDescent="0.25">
      <c r="B7" s="66" t="s">
        <v>162</v>
      </c>
      <c r="C7" s="230" t="s">
        <v>361</v>
      </c>
      <c r="D7" s="230" t="s">
        <v>361</v>
      </c>
      <c r="E7" s="230" t="s">
        <v>361</v>
      </c>
      <c r="F7" s="230" t="s">
        <v>361</v>
      </c>
      <c r="G7" s="230" t="s">
        <v>361</v>
      </c>
      <c r="H7" s="230" t="s">
        <v>361</v>
      </c>
      <c r="I7" s="230" t="s">
        <v>361</v>
      </c>
      <c r="J7" s="230" t="s">
        <v>361</v>
      </c>
    </row>
    <row r="8" spans="2:11" x14ac:dyDescent="0.25">
      <c r="B8" s="66" t="s">
        <v>179</v>
      </c>
      <c r="C8" s="230">
        <v>25</v>
      </c>
      <c r="D8" s="230">
        <v>25</v>
      </c>
      <c r="E8" s="230">
        <v>25</v>
      </c>
      <c r="F8" s="230">
        <v>25</v>
      </c>
      <c r="G8" s="230">
        <v>25</v>
      </c>
      <c r="H8" s="230">
        <v>25</v>
      </c>
      <c r="I8" s="230">
        <v>25</v>
      </c>
      <c r="J8" s="230">
        <v>25</v>
      </c>
    </row>
    <row r="9" spans="2:11" x14ac:dyDescent="0.25">
      <c r="B9" s="7" t="s">
        <v>164</v>
      </c>
      <c r="C9" s="230" t="s">
        <v>181</v>
      </c>
      <c r="D9" s="230" t="s">
        <v>182</v>
      </c>
      <c r="E9" s="230" t="s">
        <v>168</v>
      </c>
      <c r="F9" s="230" t="s">
        <v>168</v>
      </c>
      <c r="G9" s="230" t="s">
        <v>178</v>
      </c>
      <c r="H9" s="230" t="s">
        <v>172</v>
      </c>
      <c r="I9" s="230" t="s">
        <v>173</v>
      </c>
      <c r="J9" s="230" t="s">
        <v>174</v>
      </c>
    </row>
    <row r="10" spans="2:11" x14ac:dyDescent="0.25">
      <c r="B10" s="60" t="s">
        <v>165</v>
      </c>
      <c r="C10" s="224" t="s">
        <v>360</v>
      </c>
      <c r="D10" s="224" t="s">
        <v>360</v>
      </c>
      <c r="E10" s="224" t="s">
        <v>360</v>
      </c>
      <c r="F10" s="224" t="s">
        <v>360</v>
      </c>
      <c r="G10" s="224" t="s">
        <v>360</v>
      </c>
      <c r="H10" s="230" t="s">
        <v>169</v>
      </c>
      <c r="I10" s="230" t="s">
        <v>169</v>
      </c>
      <c r="J10" s="230" t="s">
        <v>169</v>
      </c>
    </row>
    <row r="11" spans="2:11" x14ac:dyDescent="0.25">
      <c r="B11" s="142" t="s">
        <v>166</v>
      </c>
      <c r="C11" s="143"/>
      <c r="D11" s="144"/>
      <c r="E11" s="143"/>
      <c r="F11" s="144"/>
      <c r="G11" s="143"/>
      <c r="H11" s="143"/>
      <c r="I11" s="143"/>
      <c r="J11" s="162"/>
    </row>
    <row r="12" spans="2:11" x14ac:dyDescent="0.25">
      <c r="B12" s="231" t="s">
        <v>175</v>
      </c>
      <c r="C12" s="230" t="s">
        <v>170</v>
      </c>
      <c r="D12" s="230" t="s">
        <v>171</v>
      </c>
      <c r="E12" s="230" t="s">
        <v>170</v>
      </c>
      <c r="F12" s="230" t="s">
        <v>170</v>
      </c>
      <c r="G12" s="230" t="s">
        <v>170</v>
      </c>
      <c r="H12" s="230" t="s">
        <v>170</v>
      </c>
      <c r="I12" s="230" t="s">
        <v>170</v>
      </c>
      <c r="J12" s="230" t="s">
        <v>170</v>
      </c>
    </row>
    <row r="13" spans="2:11" x14ac:dyDescent="0.25">
      <c r="B13" s="231" t="s">
        <v>176</v>
      </c>
      <c r="C13" s="230" t="s">
        <v>171</v>
      </c>
      <c r="D13" s="230" t="s">
        <v>171</v>
      </c>
      <c r="E13" s="230" t="s">
        <v>171</v>
      </c>
      <c r="F13" s="230" t="s">
        <v>171</v>
      </c>
      <c r="G13" s="230" t="s">
        <v>170</v>
      </c>
      <c r="H13" s="230" t="s">
        <v>171</v>
      </c>
      <c r="I13" s="230" t="s">
        <v>171</v>
      </c>
      <c r="J13" s="230" t="s">
        <v>170</v>
      </c>
    </row>
    <row r="14" spans="2:11" x14ac:dyDescent="0.25">
      <c r="B14" s="231" t="s">
        <v>177</v>
      </c>
      <c r="C14" s="230"/>
      <c r="D14" s="230"/>
      <c r="E14" s="230"/>
      <c r="F14" s="230"/>
      <c r="G14" s="230"/>
      <c r="H14" s="230"/>
      <c r="I14" s="230"/>
      <c r="J14" s="230"/>
    </row>
    <row r="15" spans="2:11" x14ac:dyDescent="0.25">
      <c r="B15" s="231" t="s">
        <v>177</v>
      </c>
      <c r="C15" s="230"/>
      <c r="D15" s="230"/>
      <c r="E15" s="230"/>
      <c r="F15" s="230"/>
      <c r="G15" s="230"/>
      <c r="H15" s="230"/>
      <c r="I15" s="230"/>
      <c r="J15" s="230"/>
    </row>
    <row r="16" spans="2:11" x14ac:dyDescent="0.25">
      <c r="B16" s="231" t="s">
        <v>177</v>
      </c>
      <c r="C16" s="230"/>
      <c r="D16" s="230"/>
      <c r="E16" s="230"/>
      <c r="F16" s="230"/>
      <c r="G16" s="230"/>
      <c r="H16" s="230"/>
      <c r="I16" s="230"/>
      <c r="J16" s="230"/>
    </row>
    <row r="17" spans="2:10" x14ac:dyDescent="0.25">
      <c r="B17" s="231" t="s">
        <v>177</v>
      </c>
      <c r="C17" s="230"/>
      <c r="D17" s="230"/>
      <c r="E17" s="230"/>
      <c r="F17" s="230"/>
      <c r="G17" s="230"/>
      <c r="H17" s="230"/>
      <c r="I17" s="230"/>
      <c r="J17" s="230"/>
    </row>
    <row r="18" spans="2:10" x14ac:dyDescent="0.25">
      <c r="B18" s="231" t="s">
        <v>177</v>
      </c>
      <c r="C18" s="230"/>
      <c r="D18" s="230"/>
      <c r="E18" s="230"/>
      <c r="F18" s="230"/>
      <c r="G18" s="230"/>
      <c r="H18" s="230"/>
      <c r="I18" s="230"/>
      <c r="J18" s="230"/>
    </row>
    <row r="19" spans="2:10" x14ac:dyDescent="0.25">
      <c r="B19" s="67" t="s">
        <v>177</v>
      </c>
      <c r="C19" s="3"/>
      <c r="D19" s="3"/>
      <c r="E19" s="3"/>
      <c r="F19" s="3"/>
      <c r="G19" s="3"/>
      <c r="H19" s="3"/>
      <c r="I19" s="3"/>
      <c r="J19" s="3"/>
    </row>
    <row r="20" spans="2:10" x14ac:dyDescent="0.25">
      <c r="B20" s="67" t="s">
        <v>177</v>
      </c>
      <c r="C20" s="3"/>
      <c r="D20" s="3"/>
      <c r="E20" s="3"/>
      <c r="F20" s="3"/>
      <c r="G20" s="3"/>
      <c r="H20" s="3"/>
      <c r="I20" s="3"/>
      <c r="J20" s="3"/>
    </row>
    <row r="21" spans="2:10" x14ac:dyDescent="0.25">
      <c r="B21" s="67" t="s">
        <v>177</v>
      </c>
      <c r="C21" s="3"/>
      <c r="D21" s="3"/>
      <c r="E21" s="3"/>
      <c r="F21" s="3"/>
      <c r="G21" s="3"/>
      <c r="H21" s="3"/>
      <c r="I21" s="3"/>
      <c r="J21" s="3"/>
    </row>
    <row r="22" spans="2:10" x14ac:dyDescent="0.25">
      <c r="B22" s="67" t="s">
        <v>177</v>
      </c>
      <c r="C22" s="3"/>
      <c r="D22" s="3"/>
      <c r="E22" s="3"/>
      <c r="F22" s="3"/>
      <c r="G22" s="3"/>
      <c r="H22" s="3"/>
      <c r="I22" s="3"/>
      <c r="J22" s="3"/>
    </row>
    <row r="23" spans="2:10" x14ac:dyDescent="0.25">
      <c r="B23" s="67" t="s">
        <v>177</v>
      </c>
      <c r="C23" s="3"/>
      <c r="D23" s="3"/>
      <c r="E23" s="3"/>
      <c r="F23" s="3"/>
      <c r="G23" s="3"/>
      <c r="H23" s="3"/>
      <c r="I23" s="3"/>
      <c r="J23" s="3"/>
    </row>
    <row r="24" spans="2:10" x14ac:dyDescent="0.25">
      <c r="B24" s="67" t="s">
        <v>177</v>
      </c>
      <c r="C24" s="3"/>
      <c r="D24" s="3"/>
      <c r="E24" s="3"/>
      <c r="F24" s="3"/>
      <c r="G24" s="3"/>
      <c r="H24" s="3"/>
      <c r="I24" s="3"/>
      <c r="J24" s="3"/>
    </row>
    <row r="25" spans="2:10" x14ac:dyDescent="0.25">
      <c r="B25" s="67" t="s">
        <v>177</v>
      </c>
      <c r="C25" s="3"/>
      <c r="D25" s="3"/>
      <c r="E25" s="3"/>
      <c r="F25" s="3"/>
      <c r="G25" s="3"/>
      <c r="H25" s="3"/>
      <c r="I25" s="3"/>
      <c r="J25" s="3"/>
    </row>
    <row r="26" spans="2:10" x14ac:dyDescent="0.25">
      <c r="B26" s="67" t="s">
        <v>177</v>
      </c>
      <c r="C26" s="3"/>
      <c r="D26" s="3"/>
      <c r="E26" s="3"/>
      <c r="F26" s="3"/>
      <c r="G26" s="3"/>
      <c r="H26" s="3"/>
      <c r="I26" s="3"/>
      <c r="J26" s="3"/>
    </row>
    <row r="27" spans="2:10" x14ac:dyDescent="0.25">
      <c r="B27" s="67" t="s">
        <v>177</v>
      </c>
      <c r="C27" s="3"/>
      <c r="D27" s="3"/>
      <c r="E27" s="3"/>
      <c r="F27" s="3"/>
      <c r="G27" s="3"/>
      <c r="H27" s="3"/>
      <c r="I27" s="3"/>
      <c r="J27" s="3"/>
    </row>
  </sheetData>
  <mergeCells count="1">
    <mergeCell ref="B1:J1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zoomScale="90" zoomScaleNormal="90" workbookViewId="0">
      <selection activeCell="G52" sqref="G52"/>
    </sheetView>
  </sheetViews>
  <sheetFormatPr defaultRowHeight="13.8" x14ac:dyDescent="0.25"/>
  <cols>
    <col min="1" max="1" width="5" style="2" customWidth="1"/>
    <col min="2" max="2" width="12.59765625" style="2" customWidth="1"/>
    <col min="3" max="3" width="20.8984375" style="2" customWidth="1"/>
    <col min="4" max="4" width="13.19921875" style="2" customWidth="1"/>
    <col min="5" max="5" width="14.69921875" style="2" customWidth="1"/>
    <col min="6" max="6" width="11.09765625" customWidth="1"/>
    <col min="7" max="7" width="11" style="2" customWidth="1"/>
    <col min="8" max="8" width="12.69921875" style="2" bestFit="1" customWidth="1"/>
    <col min="9" max="9" width="12.09765625" style="2" customWidth="1"/>
    <col min="10" max="10" width="13.8984375" style="2" customWidth="1"/>
    <col min="11" max="11" width="12.19921875" customWidth="1"/>
  </cols>
  <sheetData>
    <row r="1" spans="1:11" ht="23.4" x14ac:dyDescent="0.6">
      <c r="A1" s="264" t="s">
        <v>370</v>
      </c>
      <c r="B1" s="265"/>
      <c r="C1" s="265"/>
      <c r="D1" s="265"/>
      <c r="E1" s="265"/>
      <c r="F1" s="265"/>
      <c r="G1" s="265"/>
      <c r="H1" s="265"/>
      <c r="I1" s="265"/>
      <c r="J1" s="265"/>
      <c r="K1" s="266"/>
    </row>
    <row r="2" spans="1:11" ht="18.75" customHeight="1" x14ac:dyDescent="0.25">
      <c r="A2" s="267" t="s">
        <v>372</v>
      </c>
      <c r="B2" s="268"/>
      <c r="C2" s="269"/>
      <c r="D2" s="185"/>
      <c r="E2" s="185"/>
      <c r="F2" s="166"/>
      <c r="G2" s="185"/>
      <c r="H2" s="185"/>
      <c r="I2" s="185"/>
      <c r="J2" s="185"/>
      <c r="K2" s="149"/>
    </row>
    <row r="3" spans="1:11" ht="51.75" customHeight="1" x14ac:dyDescent="0.25">
      <c r="A3" s="68" t="s">
        <v>180</v>
      </c>
      <c r="B3" s="68" t="s">
        <v>373</v>
      </c>
      <c r="C3" s="69" t="s">
        <v>164</v>
      </c>
      <c r="D3" s="69" t="s">
        <v>163</v>
      </c>
      <c r="E3" s="69" t="s">
        <v>162</v>
      </c>
      <c r="F3" s="68" t="s">
        <v>184</v>
      </c>
      <c r="G3" s="68" t="s">
        <v>185</v>
      </c>
      <c r="H3" s="95" t="s">
        <v>183</v>
      </c>
      <c r="I3" s="94" t="s">
        <v>374</v>
      </c>
      <c r="J3" s="94" t="s">
        <v>371</v>
      </c>
      <c r="K3" s="97" t="s">
        <v>214</v>
      </c>
    </row>
    <row r="4" spans="1:11" x14ac:dyDescent="0.25">
      <c r="A4" s="229">
        <v>1</v>
      </c>
      <c r="B4" s="229">
        <v>101</v>
      </c>
      <c r="C4" s="229" t="s">
        <v>181</v>
      </c>
      <c r="D4" s="229" t="s">
        <v>361</v>
      </c>
      <c r="E4" s="229" t="s">
        <v>335</v>
      </c>
      <c r="F4" s="229">
        <v>25</v>
      </c>
      <c r="G4" s="229">
        <v>4</v>
      </c>
      <c r="H4" s="96">
        <f>3.14*G4*G4/4</f>
        <v>12.56</v>
      </c>
      <c r="I4" s="229">
        <v>8</v>
      </c>
      <c r="J4" s="233">
        <v>1</v>
      </c>
      <c r="K4" s="98">
        <f>H4/3.24*(I4+1.013)*J4</f>
        <v>34.939283950617281</v>
      </c>
    </row>
    <row r="5" spans="1:11" x14ac:dyDescent="0.25">
      <c r="A5" s="229">
        <v>2</v>
      </c>
      <c r="B5" s="229">
        <v>102</v>
      </c>
      <c r="C5" s="229" t="s">
        <v>182</v>
      </c>
      <c r="D5" s="229" t="s">
        <v>361</v>
      </c>
      <c r="E5" s="229" t="s">
        <v>335</v>
      </c>
      <c r="F5" s="229">
        <v>25</v>
      </c>
      <c r="G5" s="229">
        <v>4</v>
      </c>
      <c r="H5" s="96">
        <f t="shared" ref="H5:H9" si="0">3.14*G5*G5/4</f>
        <v>12.56</v>
      </c>
      <c r="I5" s="229">
        <v>8</v>
      </c>
      <c r="J5" s="233">
        <v>1</v>
      </c>
      <c r="K5" s="98">
        <f t="shared" ref="K5:K9" si="1">H5/3.24*(I5+1.013)*J5</f>
        <v>34.939283950617281</v>
      </c>
    </row>
    <row r="6" spans="1:11" x14ac:dyDescent="0.25">
      <c r="A6" s="229">
        <v>3</v>
      </c>
      <c r="B6" s="229">
        <v>103</v>
      </c>
      <c r="C6" s="229" t="s">
        <v>168</v>
      </c>
      <c r="D6" s="229" t="s">
        <v>361</v>
      </c>
      <c r="E6" s="229" t="s">
        <v>335</v>
      </c>
      <c r="F6" s="229">
        <v>25</v>
      </c>
      <c r="G6" s="229">
        <v>4</v>
      </c>
      <c r="H6" s="96">
        <f t="shared" si="0"/>
        <v>12.56</v>
      </c>
      <c r="I6" s="229">
        <v>8</v>
      </c>
      <c r="J6" s="233">
        <v>1</v>
      </c>
      <c r="K6" s="98">
        <f t="shared" si="1"/>
        <v>34.939283950617281</v>
      </c>
    </row>
    <row r="7" spans="1:11" x14ac:dyDescent="0.25">
      <c r="A7" s="229">
        <v>4</v>
      </c>
      <c r="B7" s="229">
        <v>104</v>
      </c>
      <c r="C7" s="229" t="s">
        <v>178</v>
      </c>
      <c r="D7" s="229" t="s">
        <v>361</v>
      </c>
      <c r="E7" s="229" t="s">
        <v>335</v>
      </c>
      <c r="F7" s="229">
        <v>25</v>
      </c>
      <c r="G7" s="229">
        <v>4</v>
      </c>
      <c r="H7" s="96">
        <f t="shared" si="0"/>
        <v>12.56</v>
      </c>
      <c r="I7" s="229">
        <v>8</v>
      </c>
      <c r="J7" s="233">
        <v>1</v>
      </c>
      <c r="K7" s="98">
        <f t="shared" si="1"/>
        <v>34.939283950617281</v>
      </c>
    </row>
    <row r="8" spans="1:11" x14ac:dyDescent="0.25">
      <c r="A8" s="229">
        <v>5</v>
      </c>
      <c r="B8" s="229">
        <v>106</v>
      </c>
      <c r="C8" s="229" t="s">
        <v>172</v>
      </c>
      <c r="D8" s="229" t="s">
        <v>361</v>
      </c>
      <c r="E8" s="229" t="s">
        <v>167</v>
      </c>
      <c r="F8" s="229">
        <v>25</v>
      </c>
      <c r="G8" s="229">
        <v>3</v>
      </c>
      <c r="H8" s="96">
        <f>3.14*G8*G8/4</f>
        <v>7.0649999999999995</v>
      </c>
      <c r="I8" s="229">
        <v>5</v>
      </c>
      <c r="J8" s="233">
        <v>0.45</v>
      </c>
      <c r="K8" s="98">
        <f t="shared" si="1"/>
        <v>5.9002562499999991</v>
      </c>
    </row>
    <row r="9" spans="1:11" x14ac:dyDescent="0.25">
      <c r="A9" s="229">
        <v>6</v>
      </c>
      <c r="B9" s="229">
        <v>107</v>
      </c>
      <c r="C9" s="229" t="s">
        <v>173</v>
      </c>
      <c r="D9" s="229" t="s">
        <v>361</v>
      </c>
      <c r="E9" s="229" t="s">
        <v>167</v>
      </c>
      <c r="F9" s="229">
        <v>25</v>
      </c>
      <c r="G9" s="229">
        <v>3</v>
      </c>
      <c r="H9" s="96">
        <f t="shared" si="0"/>
        <v>7.0649999999999995</v>
      </c>
      <c r="I9" s="229">
        <v>5</v>
      </c>
      <c r="J9" s="233">
        <v>0.5</v>
      </c>
      <c r="K9" s="98">
        <f t="shared" si="1"/>
        <v>6.5558402777777767</v>
      </c>
    </row>
    <row r="10" spans="1:11" x14ac:dyDescent="0.25">
      <c r="A10" s="229">
        <v>7</v>
      </c>
      <c r="B10" s="229"/>
      <c r="C10" s="229"/>
      <c r="D10" s="229"/>
      <c r="E10" s="229"/>
      <c r="F10" s="232"/>
      <c r="G10" s="229"/>
      <c r="H10" s="96"/>
      <c r="I10" s="229"/>
      <c r="J10" s="229"/>
      <c r="K10" s="99"/>
    </row>
    <row r="11" spans="1:11" x14ac:dyDescent="0.25">
      <c r="A11" s="229">
        <v>8</v>
      </c>
      <c r="B11" s="229"/>
      <c r="C11" s="229"/>
      <c r="D11" s="229"/>
      <c r="E11" s="229"/>
      <c r="F11" s="232"/>
      <c r="G11" s="229"/>
      <c r="H11" s="96"/>
      <c r="I11" s="234"/>
      <c r="J11" s="234"/>
      <c r="K11" s="99"/>
    </row>
    <row r="12" spans="1:11" x14ac:dyDescent="0.25">
      <c r="A12" s="229">
        <v>9</v>
      </c>
      <c r="B12" s="229"/>
      <c r="C12" s="229"/>
      <c r="D12" s="229"/>
      <c r="E12" s="229"/>
      <c r="F12" s="232"/>
      <c r="G12" s="229"/>
      <c r="H12" s="96"/>
      <c r="I12" s="229"/>
      <c r="J12" s="229"/>
      <c r="K12" s="99"/>
    </row>
    <row r="13" spans="1:11" x14ac:dyDescent="0.25">
      <c r="A13" s="229">
        <v>10</v>
      </c>
      <c r="B13" s="229"/>
      <c r="C13" s="229"/>
      <c r="D13" s="229"/>
      <c r="E13" s="229"/>
      <c r="F13" s="232"/>
      <c r="G13" s="229"/>
      <c r="H13" s="96"/>
      <c r="I13" s="235"/>
      <c r="J13" s="235"/>
      <c r="K13" s="99"/>
    </row>
    <row r="14" spans="1:11" x14ac:dyDescent="0.25">
      <c r="A14" s="229">
        <v>11</v>
      </c>
      <c r="B14" s="229"/>
      <c r="C14" s="229"/>
      <c r="D14" s="229"/>
      <c r="E14" s="229"/>
      <c r="F14" s="232"/>
      <c r="G14" s="229"/>
      <c r="H14" s="96"/>
      <c r="I14" s="229"/>
      <c r="J14" s="229"/>
      <c r="K14" s="99"/>
    </row>
    <row r="15" spans="1:11" x14ac:dyDescent="0.25">
      <c r="A15" s="229">
        <v>12</v>
      </c>
      <c r="B15" s="229"/>
      <c r="C15" s="229"/>
      <c r="D15" s="229"/>
      <c r="E15" s="229"/>
      <c r="F15" s="232"/>
      <c r="G15" s="229"/>
      <c r="H15" s="96"/>
      <c r="I15" s="229"/>
      <c r="J15" s="229"/>
      <c r="K15" s="99"/>
    </row>
    <row r="16" spans="1:11" x14ac:dyDescent="0.25">
      <c r="A16" s="229">
        <v>13</v>
      </c>
      <c r="B16" s="229"/>
      <c r="C16" s="229"/>
      <c r="D16" s="229"/>
      <c r="E16" s="229"/>
      <c r="F16" s="232"/>
      <c r="G16" s="229"/>
      <c r="H16" s="96"/>
      <c r="I16" s="229"/>
      <c r="J16" s="229"/>
      <c r="K16" s="99"/>
    </row>
    <row r="17" spans="1:12" x14ac:dyDescent="0.25">
      <c r="A17" s="229">
        <v>14</v>
      </c>
      <c r="B17" s="229"/>
      <c r="C17" s="229"/>
      <c r="D17" s="229"/>
      <c r="E17" s="229"/>
      <c r="F17" s="232"/>
      <c r="G17" s="229"/>
      <c r="H17" s="96"/>
      <c r="I17" s="229"/>
      <c r="J17" s="229"/>
      <c r="K17" s="99"/>
    </row>
    <row r="18" spans="1:12" x14ac:dyDescent="0.25">
      <c r="A18" s="229">
        <v>15</v>
      </c>
      <c r="B18" s="229"/>
      <c r="C18" s="229"/>
      <c r="D18" s="229"/>
      <c r="E18" s="229"/>
      <c r="F18" s="232"/>
      <c r="G18" s="229"/>
      <c r="H18" s="96"/>
      <c r="I18" s="229"/>
      <c r="J18" s="236"/>
      <c r="K18" s="100"/>
    </row>
    <row r="19" spans="1:12" x14ac:dyDescent="0.25">
      <c r="A19" s="136"/>
      <c r="B19" s="136"/>
      <c r="C19" s="136"/>
      <c r="D19" s="136"/>
      <c r="E19" s="136"/>
      <c r="F19" s="135"/>
      <c r="G19" s="136"/>
      <c r="H19" s="136"/>
      <c r="I19" s="136"/>
      <c r="J19" s="3" t="s">
        <v>357</v>
      </c>
      <c r="K19" s="101">
        <f>SUM(K4:K18)</f>
        <v>152.21323233024691</v>
      </c>
      <c r="L19" s="4" t="s">
        <v>186</v>
      </c>
    </row>
    <row r="20" spans="1:12" x14ac:dyDescent="0.25">
      <c r="A20" s="244" t="s">
        <v>375</v>
      </c>
      <c r="B20" s="136"/>
      <c r="C20" s="136"/>
      <c r="D20" s="136"/>
      <c r="E20" s="136"/>
      <c r="F20" s="135"/>
      <c r="G20" s="136"/>
      <c r="H20" s="136"/>
      <c r="I20" s="136"/>
      <c r="J20" s="136"/>
      <c r="K20" s="135"/>
      <c r="L20" s="135"/>
    </row>
    <row r="21" spans="1:12" x14ac:dyDescent="0.25">
      <c r="A21" s="136"/>
      <c r="B21" s="136" t="s">
        <v>12</v>
      </c>
      <c r="C21" s="136"/>
      <c r="D21" s="136"/>
      <c r="E21" s="136"/>
      <c r="F21" s="135"/>
      <c r="G21" s="136"/>
      <c r="H21" s="136"/>
      <c r="I21" s="136"/>
      <c r="J21" s="136"/>
      <c r="K21" s="135"/>
      <c r="L21" s="135"/>
    </row>
    <row r="22" spans="1:12" x14ac:dyDescent="0.25">
      <c r="A22" s="136"/>
      <c r="B22" s="178"/>
      <c r="C22" s="145"/>
      <c r="D22" s="71" t="s">
        <v>7</v>
      </c>
      <c r="E22" s="36" t="s">
        <v>8</v>
      </c>
      <c r="F22" s="37" t="s">
        <v>9</v>
      </c>
      <c r="G22" s="136"/>
      <c r="H22" s="136"/>
      <c r="I22" s="136"/>
      <c r="J22" s="136"/>
      <c r="K22" s="135"/>
      <c r="L22" s="135"/>
    </row>
    <row r="23" spans="1:12" x14ac:dyDescent="0.25">
      <c r="B23" s="90" t="s">
        <v>137</v>
      </c>
      <c r="C23" s="81"/>
      <c r="D23" s="178"/>
      <c r="E23" s="144"/>
      <c r="F23" s="162"/>
    </row>
    <row r="24" spans="1:12" x14ac:dyDescent="0.25">
      <c r="B24" s="200" t="s">
        <v>154</v>
      </c>
      <c r="C24" s="75"/>
      <c r="D24" s="75" t="s">
        <v>26</v>
      </c>
      <c r="E24" s="238">
        <v>0.75700000000000001</v>
      </c>
      <c r="F24" s="19" t="s">
        <v>2</v>
      </c>
      <c r="H24" s="2" t="s">
        <v>12</v>
      </c>
    </row>
    <row r="25" spans="1:12" x14ac:dyDescent="0.25">
      <c r="B25" s="200" t="s">
        <v>5</v>
      </c>
      <c r="C25" s="75"/>
      <c r="D25" s="75" t="s">
        <v>16</v>
      </c>
      <c r="E25" s="239">
        <v>9</v>
      </c>
      <c r="F25" s="19" t="s">
        <v>32</v>
      </c>
    </row>
    <row r="26" spans="1:12" ht="15" x14ac:dyDescent="0.3">
      <c r="B26" s="18" t="s">
        <v>296</v>
      </c>
      <c r="C26" s="161"/>
      <c r="D26" s="19" t="s">
        <v>91</v>
      </c>
      <c r="E26" s="240">
        <v>2773.8</v>
      </c>
      <c r="F26" s="19" t="s">
        <v>11</v>
      </c>
    </row>
    <row r="27" spans="1:12" ht="15.6" x14ac:dyDescent="0.25">
      <c r="B27" s="18" t="s">
        <v>4</v>
      </c>
      <c r="C27" s="75"/>
      <c r="D27" s="19" t="s">
        <v>15</v>
      </c>
      <c r="E27" s="19">
        <v>90</v>
      </c>
      <c r="F27" s="19" t="s">
        <v>303</v>
      </c>
    </row>
    <row r="28" spans="1:12" ht="15" x14ac:dyDescent="0.3">
      <c r="B28" s="18" t="s">
        <v>301</v>
      </c>
      <c r="C28" s="75"/>
      <c r="D28" s="19" t="s">
        <v>85</v>
      </c>
      <c r="E28" s="19">
        <v>377</v>
      </c>
      <c r="F28" s="19" t="s">
        <v>11</v>
      </c>
    </row>
    <row r="29" spans="1:12" x14ac:dyDescent="0.25">
      <c r="B29" s="200" t="s">
        <v>139</v>
      </c>
      <c r="C29" s="75"/>
      <c r="D29" s="75" t="s">
        <v>138</v>
      </c>
      <c r="E29" s="242">
        <v>16</v>
      </c>
      <c r="F29" s="19" t="s">
        <v>60</v>
      </c>
    </row>
    <row r="30" spans="1:12" x14ac:dyDescent="0.25">
      <c r="B30" s="200" t="s">
        <v>140</v>
      </c>
      <c r="C30" s="75"/>
      <c r="D30" s="75" t="s">
        <v>47</v>
      </c>
      <c r="E30" s="241">
        <v>300</v>
      </c>
      <c r="F30" s="19" t="s">
        <v>46</v>
      </c>
    </row>
    <row r="31" spans="1:12" x14ac:dyDescent="0.25">
      <c r="B31" s="200" t="s">
        <v>109</v>
      </c>
      <c r="C31" s="75"/>
      <c r="D31" s="75"/>
      <c r="E31" s="241" t="s">
        <v>142</v>
      </c>
      <c r="F31" s="19"/>
    </row>
    <row r="32" spans="1:12" x14ac:dyDescent="0.25">
      <c r="B32" s="200" t="s">
        <v>111</v>
      </c>
      <c r="C32" s="75"/>
      <c r="D32" s="75"/>
      <c r="E32" s="241" t="s">
        <v>63</v>
      </c>
      <c r="F32" s="19"/>
    </row>
    <row r="33" spans="2:7" x14ac:dyDescent="0.25">
      <c r="B33" s="200" t="s">
        <v>143</v>
      </c>
      <c r="C33" s="75"/>
      <c r="D33" s="75" t="s">
        <v>153</v>
      </c>
      <c r="E33" s="239">
        <v>39.770000000000003</v>
      </c>
      <c r="F33" s="19" t="s">
        <v>112</v>
      </c>
    </row>
    <row r="34" spans="2:7" x14ac:dyDescent="0.25">
      <c r="B34" s="200" t="s">
        <v>144</v>
      </c>
      <c r="C34" s="75"/>
      <c r="D34" s="75" t="s">
        <v>0</v>
      </c>
      <c r="E34" s="241">
        <v>20</v>
      </c>
      <c r="F34" s="19" t="s">
        <v>64</v>
      </c>
    </row>
    <row r="35" spans="2:7" x14ac:dyDescent="0.25">
      <c r="B35" s="201"/>
      <c r="C35" s="153"/>
      <c r="D35" s="153"/>
      <c r="E35" s="153"/>
      <c r="F35" s="169"/>
    </row>
    <row r="36" spans="2:7" x14ac:dyDescent="0.25">
      <c r="B36" s="80" t="s">
        <v>213</v>
      </c>
      <c r="C36" s="81"/>
      <c r="D36" s="178"/>
      <c r="E36" s="144"/>
      <c r="F36" s="162"/>
    </row>
    <row r="37" spans="2:7" x14ac:dyDescent="0.25">
      <c r="B37" s="78" t="s">
        <v>336</v>
      </c>
      <c r="C37" s="73"/>
      <c r="D37" s="5" t="s">
        <v>187</v>
      </c>
      <c r="E37" s="102">
        <f>K19</f>
        <v>152.21323233024691</v>
      </c>
      <c r="F37" s="202" t="s">
        <v>439</v>
      </c>
    </row>
    <row r="38" spans="2:7" x14ac:dyDescent="0.25">
      <c r="B38" s="7" t="s">
        <v>197</v>
      </c>
      <c r="C38" s="73"/>
      <c r="D38" s="5" t="s">
        <v>35</v>
      </c>
      <c r="E38" s="76">
        <f>E37*(E26-E28) *E29*E30/E24/E33/1000</f>
        <v>58166.639192392322</v>
      </c>
      <c r="F38" s="203" t="s">
        <v>356</v>
      </c>
      <c r="G38" s="167"/>
    </row>
    <row r="39" spans="2:7" ht="14.4" x14ac:dyDescent="0.3">
      <c r="B39" s="77" t="s">
        <v>215</v>
      </c>
      <c r="C39" s="5"/>
      <c r="D39" s="237"/>
      <c r="E39" s="183"/>
      <c r="F39" s="148"/>
      <c r="G39"/>
    </row>
    <row r="40" spans="2:7" x14ac:dyDescent="0.25">
      <c r="B40" s="7" t="s">
        <v>152</v>
      </c>
      <c r="C40" s="73"/>
      <c r="D40" s="153"/>
      <c r="E40" s="153"/>
      <c r="F40" s="169"/>
      <c r="G40"/>
    </row>
    <row r="41" spans="2:7" x14ac:dyDescent="0.25">
      <c r="B41" s="104" t="s">
        <v>155</v>
      </c>
      <c r="C41" s="79"/>
      <c r="D41" s="5" t="s">
        <v>77</v>
      </c>
      <c r="E41" s="52">
        <f>E38*E34</f>
        <v>1163332.7838478466</v>
      </c>
      <c r="F41" s="5" t="s">
        <v>53</v>
      </c>
      <c r="G41"/>
    </row>
    <row r="42" spans="2:7" x14ac:dyDescent="0.25">
      <c r="B42" s="18" t="s">
        <v>337</v>
      </c>
      <c r="C42" s="75"/>
      <c r="D42" s="19" t="s">
        <v>117</v>
      </c>
      <c r="E42" s="46">
        <v>72000</v>
      </c>
      <c r="F42" s="19" t="s">
        <v>64</v>
      </c>
      <c r="G42"/>
    </row>
    <row r="43" spans="2:7" x14ac:dyDescent="0.25">
      <c r="B43" s="7" t="s">
        <v>116</v>
      </c>
      <c r="C43" s="73"/>
      <c r="D43" s="153"/>
      <c r="E43" s="153"/>
      <c r="F43" s="169"/>
      <c r="G43"/>
    </row>
    <row r="44" spans="2:7" x14ac:dyDescent="0.25">
      <c r="B44" s="104" t="s">
        <v>157</v>
      </c>
      <c r="C44" s="79"/>
      <c r="D44" s="5" t="s">
        <v>58</v>
      </c>
      <c r="E44" s="52">
        <f>E42/E41</f>
        <v>6.1891146711994451E-2</v>
      </c>
      <c r="F44" s="5" t="s">
        <v>59</v>
      </c>
      <c r="G44"/>
    </row>
  </sheetData>
  <mergeCells count="2">
    <mergeCell ref="A1:K1"/>
    <mergeCell ref="A2:C2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B25" workbookViewId="0">
      <selection activeCell="G39" sqref="G39"/>
    </sheetView>
  </sheetViews>
  <sheetFormatPr defaultRowHeight="13.8" x14ac:dyDescent="0.25"/>
  <cols>
    <col min="1" max="1" width="5" style="2" customWidth="1"/>
    <col min="2" max="2" width="11.3984375" style="2" customWidth="1"/>
    <col min="3" max="3" width="37.59765625" style="2" customWidth="1"/>
    <col min="4" max="5" width="13.19921875" style="2" customWidth="1"/>
    <col min="6" max="6" width="13.69921875" customWidth="1"/>
    <col min="7" max="7" width="11" style="2" customWidth="1"/>
    <col min="8" max="8" width="12.69921875" style="2" bestFit="1" customWidth="1"/>
    <col min="9" max="10" width="12.09765625" style="2" customWidth="1"/>
    <col min="11" max="11" width="10.59765625" bestFit="1" customWidth="1"/>
  </cols>
  <sheetData>
    <row r="1" spans="2:8" ht="23.4" x14ac:dyDescent="0.6">
      <c r="B1" s="264" t="s">
        <v>222</v>
      </c>
      <c r="C1" s="265"/>
      <c r="D1" s="265"/>
      <c r="E1" s="265"/>
      <c r="F1" s="266"/>
    </row>
    <row r="2" spans="2:8" x14ac:dyDescent="0.25">
      <c r="B2" s="201"/>
      <c r="C2" s="153"/>
      <c r="D2" s="153"/>
      <c r="E2" s="153"/>
      <c r="F2" s="169"/>
    </row>
    <row r="3" spans="2:8" x14ac:dyDescent="0.25">
      <c r="B3" s="90" t="s">
        <v>137</v>
      </c>
      <c r="C3" s="81"/>
      <c r="D3" s="71" t="s">
        <v>7</v>
      </c>
      <c r="E3" s="36" t="s">
        <v>8</v>
      </c>
      <c r="F3" s="37" t="s">
        <v>9</v>
      </c>
    </row>
    <row r="4" spans="2:8" x14ac:dyDescent="0.25">
      <c r="B4" s="200" t="s">
        <v>154</v>
      </c>
      <c r="C4" s="75"/>
      <c r="D4" s="75" t="s">
        <v>26</v>
      </c>
      <c r="E4" s="238">
        <v>0.75700000000000001</v>
      </c>
      <c r="F4" s="19" t="s">
        <v>12</v>
      </c>
      <c r="H4" s="2" t="s">
        <v>12</v>
      </c>
    </row>
    <row r="5" spans="2:8" x14ac:dyDescent="0.25">
      <c r="B5" s="200" t="s">
        <v>5</v>
      </c>
      <c r="C5" s="75"/>
      <c r="D5" s="75" t="s">
        <v>16</v>
      </c>
      <c r="E5" s="239">
        <v>9</v>
      </c>
      <c r="F5" s="19" t="s">
        <v>32</v>
      </c>
    </row>
    <row r="6" spans="2:8" ht="15" x14ac:dyDescent="0.3">
      <c r="B6" s="18" t="s">
        <v>296</v>
      </c>
      <c r="C6" s="161"/>
      <c r="D6" s="19" t="s">
        <v>91</v>
      </c>
      <c r="E6" s="240">
        <v>2773.8</v>
      </c>
      <c r="F6" s="19" t="s">
        <v>11</v>
      </c>
    </row>
    <row r="7" spans="2:8" ht="15.6" x14ac:dyDescent="0.25">
      <c r="B7" s="18" t="s">
        <v>4</v>
      </c>
      <c r="C7" s="75"/>
      <c r="D7" s="19" t="s">
        <v>15</v>
      </c>
      <c r="E7" s="19">
        <v>35</v>
      </c>
      <c r="F7" s="19" t="s">
        <v>303</v>
      </c>
    </row>
    <row r="8" spans="2:8" ht="15" x14ac:dyDescent="0.3">
      <c r="B8" s="18" t="s">
        <v>301</v>
      </c>
      <c r="C8" s="75"/>
      <c r="D8" s="19" t="s">
        <v>85</v>
      </c>
      <c r="E8" s="19">
        <v>146</v>
      </c>
      <c r="F8" s="19" t="s">
        <v>363</v>
      </c>
    </row>
    <row r="9" spans="2:8" x14ac:dyDescent="0.25">
      <c r="B9" s="200" t="s">
        <v>440</v>
      </c>
      <c r="C9" s="75"/>
      <c r="D9" s="75" t="s">
        <v>138</v>
      </c>
      <c r="E9" s="241">
        <v>16</v>
      </c>
      <c r="F9" s="19" t="s">
        <v>60</v>
      </c>
    </row>
    <row r="10" spans="2:8" x14ac:dyDescent="0.25">
      <c r="B10" s="200" t="s">
        <v>441</v>
      </c>
      <c r="C10" s="75"/>
      <c r="D10" s="75" t="s">
        <v>47</v>
      </c>
      <c r="E10" s="241">
        <v>300</v>
      </c>
      <c r="F10" s="19" t="s">
        <v>46</v>
      </c>
    </row>
    <row r="11" spans="2:8" x14ac:dyDescent="0.25">
      <c r="B11" s="187"/>
      <c r="C11" s="144"/>
      <c r="D11" s="144"/>
      <c r="E11" s="258"/>
      <c r="F11" s="145"/>
    </row>
    <row r="12" spans="2:8" x14ac:dyDescent="0.25">
      <c r="B12" s="200" t="s">
        <v>109</v>
      </c>
      <c r="C12" s="75"/>
      <c r="D12" s="75"/>
      <c r="E12" s="241" t="s">
        <v>142</v>
      </c>
      <c r="F12" s="19"/>
    </row>
    <row r="13" spans="2:8" x14ac:dyDescent="0.25">
      <c r="B13" s="200" t="s">
        <v>111</v>
      </c>
      <c r="C13" s="75"/>
      <c r="D13" s="75"/>
      <c r="E13" s="241" t="s">
        <v>63</v>
      </c>
      <c r="F13" s="19"/>
    </row>
    <row r="14" spans="2:8" x14ac:dyDescent="0.25">
      <c r="B14" s="200" t="s">
        <v>143</v>
      </c>
      <c r="C14" s="75"/>
      <c r="D14" s="75" t="s">
        <v>153</v>
      </c>
      <c r="E14" s="239">
        <v>39.770000000000003</v>
      </c>
      <c r="F14" s="19" t="s">
        <v>355</v>
      </c>
      <c r="G14" s="83"/>
    </row>
    <row r="15" spans="2:8" x14ac:dyDescent="0.25">
      <c r="B15" s="200" t="s">
        <v>144</v>
      </c>
      <c r="C15" s="75"/>
      <c r="D15" s="75" t="s">
        <v>0</v>
      </c>
      <c r="E15" s="241">
        <v>20</v>
      </c>
      <c r="F15" s="19" t="s">
        <v>64</v>
      </c>
    </row>
    <row r="16" spans="2:8" ht="16.2" x14ac:dyDescent="0.3">
      <c r="B16" s="18" t="s">
        <v>338</v>
      </c>
      <c r="C16" s="75"/>
      <c r="D16" s="19" t="s">
        <v>189</v>
      </c>
      <c r="E16" s="19">
        <v>419</v>
      </c>
      <c r="F16" s="19" t="s">
        <v>363</v>
      </c>
    </row>
    <row r="17" spans="1:10" x14ac:dyDescent="0.25">
      <c r="B17" s="201"/>
      <c r="C17" s="153"/>
      <c r="D17" s="153"/>
      <c r="E17" s="153"/>
      <c r="F17" s="169"/>
    </row>
    <row r="18" spans="1:10" x14ac:dyDescent="0.25">
      <c r="B18" s="103" t="s">
        <v>121</v>
      </c>
      <c r="C18" s="112"/>
      <c r="D18" s="237"/>
      <c r="E18" s="159"/>
      <c r="F18" s="186"/>
    </row>
    <row r="19" spans="1:10" x14ac:dyDescent="0.25">
      <c r="A19"/>
      <c r="B19" s="113" t="s">
        <v>69</v>
      </c>
      <c r="C19" s="114"/>
      <c r="D19" s="153"/>
      <c r="E19" s="153"/>
      <c r="F19" s="169"/>
      <c r="G19"/>
      <c r="H19"/>
      <c r="I19"/>
      <c r="J19"/>
    </row>
    <row r="20" spans="1:10" x14ac:dyDescent="0.25">
      <c r="A20"/>
      <c r="B20" s="204" t="s">
        <v>65</v>
      </c>
      <c r="C20" s="161"/>
      <c r="D20" s="4"/>
      <c r="E20" s="19" t="s">
        <v>66</v>
      </c>
      <c r="F20" s="4"/>
      <c r="G20"/>
      <c r="H20"/>
      <c r="I20"/>
      <c r="J20"/>
    </row>
    <row r="21" spans="1:10" x14ac:dyDescent="0.25">
      <c r="A21"/>
      <c r="B21" s="18" t="s">
        <v>442</v>
      </c>
      <c r="C21" s="75"/>
      <c r="D21" s="19" t="s">
        <v>20</v>
      </c>
      <c r="E21" s="1">
        <v>5200</v>
      </c>
      <c r="F21" s="19" t="s">
        <v>82</v>
      </c>
      <c r="G21"/>
      <c r="H21"/>
      <c r="I21"/>
      <c r="J21"/>
    </row>
    <row r="22" spans="1:10" x14ac:dyDescent="0.25">
      <c r="A22"/>
      <c r="B22" s="204" t="s">
        <v>443</v>
      </c>
      <c r="C22" s="75"/>
      <c r="D22" s="19" t="s">
        <v>68</v>
      </c>
      <c r="E22" s="1">
        <v>5</v>
      </c>
      <c r="F22" s="205" t="s">
        <v>81</v>
      </c>
      <c r="G22"/>
      <c r="H22"/>
      <c r="I22"/>
      <c r="J22"/>
    </row>
    <row r="23" spans="1:10" x14ac:dyDescent="0.25">
      <c r="A23"/>
      <c r="B23" s="259" t="s">
        <v>444</v>
      </c>
      <c r="C23" s="75"/>
      <c r="D23" s="19" t="s">
        <v>71</v>
      </c>
      <c r="E23" s="1">
        <v>56000</v>
      </c>
      <c r="F23" s="19" t="s">
        <v>75</v>
      </c>
      <c r="G23"/>
      <c r="H23"/>
      <c r="I23"/>
      <c r="J23"/>
    </row>
    <row r="24" spans="1:10" x14ac:dyDescent="0.25">
      <c r="A24"/>
      <c r="B24" s="106" t="s">
        <v>80</v>
      </c>
      <c r="C24" s="72"/>
      <c r="D24" s="153"/>
      <c r="E24" s="153"/>
      <c r="F24" s="169"/>
      <c r="G24"/>
      <c r="H24"/>
      <c r="I24"/>
      <c r="J24"/>
    </row>
    <row r="25" spans="1:10" x14ac:dyDescent="0.25">
      <c r="A25"/>
      <c r="B25" s="216" t="s">
        <v>445</v>
      </c>
      <c r="C25" s="215"/>
      <c r="D25" s="153"/>
      <c r="E25" s="153"/>
      <c r="F25" s="169"/>
      <c r="G25"/>
      <c r="H25"/>
      <c r="I25"/>
      <c r="J25"/>
    </row>
    <row r="26" spans="1:10" x14ac:dyDescent="0.25">
      <c r="A26"/>
      <c r="B26" s="216" t="s">
        <v>379</v>
      </c>
      <c r="C26" s="215"/>
      <c r="D26" s="213" t="s">
        <v>70</v>
      </c>
      <c r="E26" s="209">
        <f>(E21*E22+E23)/E21</f>
        <v>15.76923076923077</v>
      </c>
      <c r="F26" s="196" t="s">
        <v>81</v>
      </c>
      <c r="G26"/>
      <c r="H26"/>
      <c r="I26"/>
      <c r="J26"/>
    </row>
    <row r="27" spans="1:10" x14ac:dyDescent="0.25">
      <c r="B27" s="18" t="s">
        <v>446</v>
      </c>
      <c r="C27" s="75"/>
      <c r="D27" s="207" t="s">
        <v>192</v>
      </c>
      <c r="E27" s="30">
        <v>0.1</v>
      </c>
      <c r="F27" s="19" t="s">
        <v>82</v>
      </c>
    </row>
    <row r="28" spans="1:10" x14ac:dyDescent="0.25">
      <c r="B28" s="214" t="s">
        <v>216</v>
      </c>
      <c r="C28" s="215"/>
      <c r="D28" s="153"/>
      <c r="E28" s="153"/>
      <c r="F28" s="169"/>
    </row>
    <row r="29" spans="1:10" x14ac:dyDescent="0.25">
      <c r="B29" s="214" t="s">
        <v>194</v>
      </c>
      <c r="C29" s="215"/>
      <c r="D29" s="213" t="s">
        <v>193</v>
      </c>
      <c r="E29" s="210">
        <f>E27/E21</f>
        <v>1.9230769230769231E-5</v>
      </c>
      <c r="F29" s="173"/>
    </row>
    <row r="30" spans="1:10" x14ac:dyDescent="0.25">
      <c r="B30" s="201"/>
      <c r="C30" s="153"/>
      <c r="D30" s="153"/>
      <c r="E30" s="153"/>
      <c r="F30" s="169"/>
    </row>
    <row r="31" spans="1:10" x14ac:dyDescent="0.25">
      <c r="B31" s="80" t="s">
        <v>190</v>
      </c>
      <c r="C31" s="81"/>
      <c r="D31" s="178"/>
      <c r="E31" s="144"/>
      <c r="F31" s="162"/>
      <c r="G31" s="82" t="s">
        <v>12</v>
      </c>
    </row>
    <row r="32" spans="1:10" x14ac:dyDescent="0.25">
      <c r="B32" s="18" t="s">
        <v>447</v>
      </c>
      <c r="C32" s="75"/>
      <c r="D32" s="19" t="s">
        <v>195</v>
      </c>
      <c r="E32" s="30">
        <v>4400</v>
      </c>
      <c r="F32" s="19" t="s">
        <v>82</v>
      </c>
    </row>
    <row r="33" spans="2:7" x14ac:dyDescent="0.25">
      <c r="B33" s="107" t="s">
        <v>216</v>
      </c>
      <c r="C33" s="74"/>
      <c r="D33" s="110" t="s">
        <v>196</v>
      </c>
      <c r="E33" s="212">
        <f>E32/E21</f>
        <v>0.84615384615384615</v>
      </c>
      <c r="F33" s="196" t="s">
        <v>2</v>
      </c>
    </row>
    <row r="34" spans="2:7" x14ac:dyDescent="0.25">
      <c r="B34" s="107" t="s">
        <v>217</v>
      </c>
      <c r="C34" s="74"/>
      <c r="D34" s="153"/>
      <c r="E34" s="153"/>
      <c r="F34" s="169"/>
    </row>
    <row r="35" spans="2:7" x14ac:dyDescent="0.25">
      <c r="B35" s="107" t="s">
        <v>218</v>
      </c>
      <c r="C35" s="74"/>
      <c r="D35" s="110" t="s">
        <v>107</v>
      </c>
      <c r="E35" s="210">
        <f>E26*E32</f>
        <v>69384.61538461539</v>
      </c>
      <c r="F35" s="196" t="s">
        <v>75</v>
      </c>
    </row>
    <row r="36" spans="2:7" x14ac:dyDescent="0.25">
      <c r="B36" s="107" t="s">
        <v>448</v>
      </c>
      <c r="C36" s="74"/>
      <c r="D36" s="153"/>
      <c r="E36" s="153"/>
      <c r="F36" s="154"/>
    </row>
    <row r="37" spans="2:7" ht="15" x14ac:dyDescent="0.3">
      <c r="B37" s="108" t="s">
        <v>221</v>
      </c>
      <c r="C37" s="109"/>
      <c r="D37" s="110" t="s">
        <v>191</v>
      </c>
      <c r="E37" s="209">
        <f>E32*(E16-E8)</f>
        <v>1201200</v>
      </c>
      <c r="F37" s="196" t="s">
        <v>450</v>
      </c>
    </row>
    <row r="38" spans="2:7" x14ac:dyDescent="0.25">
      <c r="B38" s="107" t="s">
        <v>197</v>
      </c>
      <c r="C38" s="74"/>
      <c r="D38" s="153"/>
      <c r="E38" s="153"/>
      <c r="F38" s="154"/>
    </row>
    <row r="39" spans="2:7" x14ac:dyDescent="0.25">
      <c r="B39" s="108" t="s">
        <v>198</v>
      </c>
      <c r="C39" s="109"/>
      <c r="D39" s="110" t="s">
        <v>35</v>
      </c>
      <c r="E39" s="209">
        <f>E37/(E14*E4)</f>
        <v>39899.169232332941</v>
      </c>
      <c r="F39" s="211" t="s">
        <v>353</v>
      </c>
      <c r="G39" s="70"/>
    </row>
    <row r="40" spans="2:7" x14ac:dyDescent="0.25">
      <c r="B40" s="107" t="s">
        <v>199</v>
      </c>
      <c r="C40" s="74"/>
      <c r="D40" s="153"/>
      <c r="E40" s="153"/>
      <c r="F40" s="154"/>
    </row>
    <row r="41" spans="2:7" x14ac:dyDescent="0.25">
      <c r="B41" s="108" t="s">
        <v>200</v>
      </c>
      <c r="C41" s="109"/>
      <c r="D41" s="110" t="s">
        <v>77</v>
      </c>
      <c r="E41" s="209">
        <f>E39*E15</f>
        <v>797983.38464665879</v>
      </c>
      <c r="F41" s="196" t="s">
        <v>75</v>
      </c>
    </row>
    <row r="42" spans="2:7" x14ac:dyDescent="0.25">
      <c r="B42" s="107" t="s">
        <v>219</v>
      </c>
      <c r="C42" s="74"/>
      <c r="D42" s="110" t="s">
        <v>115</v>
      </c>
      <c r="E42" s="208">
        <f>E35+E41</f>
        <v>867368.00003127416</v>
      </c>
      <c r="F42" s="196" t="s">
        <v>75</v>
      </c>
    </row>
    <row r="43" spans="2:7" x14ac:dyDescent="0.25">
      <c r="B43" s="107" t="s">
        <v>220</v>
      </c>
      <c r="C43" s="74"/>
      <c r="D43" s="40"/>
      <c r="E43" s="209">
        <f>E42*12</f>
        <v>10408416.000375289</v>
      </c>
      <c r="F43" s="196" t="s">
        <v>53</v>
      </c>
    </row>
    <row r="44" spans="2:7" x14ac:dyDescent="0.25">
      <c r="B44" s="18" t="s">
        <v>201</v>
      </c>
      <c r="C44" s="75"/>
      <c r="D44" s="19" t="s">
        <v>117</v>
      </c>
      <c r="E44" s="46">
        <v>3000000</v>
      </c>
      <c r="F44" s="19" t="s">
        <v>64</v>
      </c>
    </row>
    <row r="45" spans="2:7" x14ac:dyDescent="0.25">
      <c r="B45" s="58" t="s">
        <v>116</v>
      </c>
      <c r="C45" s="105"/>
      <c r="D45" s="153"/>
      <c r="E45" s="153"/>
      <c r="F45" s="169"/>
    </row>
    <row r="46" spans="2:7" x14ac:dyDescent="0.25">
      <c r="B46" s="206" t="s">
        <v>449</v>
      </c>
      <c r="C46" s="111"/>
      <c r="D46" s="57" t="s">
        <v>58</v>
      </c>
      <c r="E46" s="59">
        <f>E44/(E43)</f>
        <v>0.28822829524606153</v>
      </c>
      <c r="F46" s="57" t="s">
        <v>59</v>
      </c>
    </row>
  </sheetData>
  <mergeCells count="1">
    <mergeCell ref="B1:F1"/>
  </mergeCells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15" sqref="E15:E16"/>
    </sheetView>
  </sheetViews>
  <sheetFormatPr defaultRowHeight="13.8" x14ac:dyDescent="0.25"/>
  <cols>
    <col min="2" max="2" width="35.8984375" customWidth="1"/>
    <col min="3" max="3" width="21.8984375" customWidth="1"/>
    <col min="4" max="4" width="14.59765625" customWidth="1"/>
    <col min="5" max="5" width="19.8984375" customWidth="1"/>
    <col min="6" max="6" width="25.69921875" customWidth="1"/>
  </cols>
  <sheetData>
    <row r="1" spans="1:6" ht="23.4" x14ac:dyDescent="0.6">
      <c r="A1" s="280" t="s">
        <v>358</v>
      </c>
      <c r="B1" s="281"/>
      <c r="C1" s="281"/>
      <c r="D1" s="281"/>
      <c r="E1" s="281"/>
      <c r="F1" s="282"/>
    </row>
    <row r="2" spans="1:6" ht="14.4" thickBot="1" x14ac:dyDescent="0.3">
      <c r="A2" s="135"/>
      <c r="B2" s="135"/>
      <c r="C2" s="135"/>
      <c r="D2" s="136"/>
      <c r="E2" s="135" t="s">
        <v>262</v>
      </c>
      <c r="F2" s="135"/>
    </row>
    <row r="3" spans="1:6" ht="16.8" x14ac:dyDescent="0.25">
      <c r="A3" s="270" t="s">
        <v>223</v>
      </c>
      <c r="B3" s="272" t="s">
        <v>224</v>
      </c>
      <c r="C3" s="270" t="s">
        <v>225</v>
      </c>
      <c r="D3" s="270" t="s">
        <v>226</v>
      </c>
      <c r="E3" s="115" t="s">
        <v>227</v>
      </c>
      <c r="F3" s="270" t="s">
        <v>229</v>
      </c>
    </row>
    <row r="4" spans="1:6" ht="17.399999999999999" thickBot="1" x14ac:dyDescent="0.3">
      <c r="A4" s="271"/>
      <c r="B4" s="273"/>
      <c r="C4" s="271"/>
      <c r="D4" s="271"/>
      <c r="E4" s="116" t="s">
        <v>228</v>
      </c>
      <c r="F4" s="271"/>
    </row>
    <row r="5" spans="1:6" ht="33.6" x14ac:dyDescent="0.25">
      <c r="A5" s="276">
        <v>1</v>
      </c>
      <c r="B5" s="274" t="s">
        <v>339</v>
      </c>
      <c r="C5" s="217" t="s">
        <v>230</v>
      </c>
      <c r="D5" s="276" t="s">
        <v>232</v>
      </c>
      <c r="E5" s="276" t="s">
        <v>233</v>
      </c>
      <c r="F5" s="217" t="s">
        <v>234</v>
      </c>
    </row>
    <row r="6" spans="1:6" ht="16.8" x14ac:dyDescent="0.25">
      <c r="A6" s="278"/>
      <c r="B6" s="279"/>
      <c r="C6" s="217" t="s">
        <v>231</v>
      </c>
      <c r="D6" s="278"/>
      <c r="E6" s="278"/>
      <c r="F6" s="217" t="s">
        <v>235</v>
      </c>
    </row>
    <row r="7" spans="1:6" ht="17.399999999999999" thickBot="1" x14ac:dyDescent="0.3">
      <c r="A7" s="277"/>
      <c r="B7" s="275"/>
      <c r="C7" s="218"/>
      <c r="D7" s="277"/>
      <c r="E7" s="277"/>
      <c r="F7" s="220"/>
    </row>
    <row r="8" spans="1:6" ht="16.8" x14ac:dyDescent="0.25">
      <c r="A8" s="276">
        <v>2</v>
      </c>
      <c r="B8" s="274" t="s">
        <v>236</v>
      </c>
      <c r="C8" s="217" t="s">
        <v>237</v>
      </c>
      <c r="D8" s="217"/>
      <c r="E8" s="276" t="s">
        <v>240</v>
      </c>
      <c r="F8" s="276" t="s">
        <v>241</v>
      </c>
    </row>
    <row r="9" spans="1:6" ht="16.8" x14ac:dyDescent="0.25">
      <c r="A9" s="278"/>
      <c r="B9" s="279"/>
      <c r="C9" s="217" t="s">
        <v>238</v>
      </c>
      <c r="D9" s="217" t="s">
        <v>359</v>
      </c>
      <c r="E9" s="278"/>
      <c r="F9" s="278"/>
    </row>
    <row r="10" spans="1:6" ht="17.399999999999999" thickBot="1" x14ac:dyDescent="0.3">
      <c r="A10" s="277"/>
      <c r="B10" s="275"/>
      <c r="C10" s="220" t="s">
        <v>239</v>
      </c>
      <c r="D10" s="218"/>
      <c r="E10" s="277"/>
      <c r="F10" s="277"/>
    </row>
    <row r="11" spans="1:6" ht="16.8" x14ac:dyDescent="0.25">
      <c r="A11" s="276">
        <v>3</v>
      </c>
      <c r="B11" s="274" t="s">
        <v>340</v>
      </c>
      <c r="C11" s="217" t="s">
        <v>242</v>
      </c>
      <c r="D11" s="217" t="s">
        <v>243</v>
      </c>
      <c r="E11" s="276" t="s">
        <v>244</v>
      </c>
      <c r="F11" s="276" t="s">
        <v>352</v>
      </c>
    </row>
    <row r="12" spans="1:6" ht="36" x14ac:dyDescent="0.25">
      <c r="A12" s="278"/>
      <c r="B12" s="279"/>
      <c r="C12" s="217" t="s">
        <v>344</v>
      </c>
      <c r="D12" s="217" t="s">
        <v>341</v>
      </c>
      <c r="E12" s="278"/>
      <c r="F12" s="278"/>
    </row>
    <row r="13" spans="1:6" ht="19.2" x14ac:dyDescent="0.25">
      <c r="A13" s="278"/>
      <c r="B13" s="279"/>
      <c r="C13" s="217" t="s">
        <v>342</v>
      </c>
      <c r="D13" s="221"/>
      <c r="E13" s="278"/>
      <c r="F13" s="278"/>
    </row>
    <row r="14" spans="1:6" ht="19.8" thickBot="1" x14ac:dyDescent="0.3">
      <c r="A14" s="277"/>
      <c r="B14" s="275"/>
      <c r="C14" s="220" t="s">
        <v>343</v>
      </c>
      <c r="D14" s="218"/>
      <c r="E14" s="277"/>
      <c r="F14" s="277"/>
    </row>
    <row r="15" spans="1:6" ht="50.4" x14ac:dyDescent="0.25">
      <c r="A15" s="276">
        <v>4</v>
      </c>
      <c r="B15" s="222" t="s">
        <v>245</v>
      </c>
      <c r="C15" s="217" t="s">
        <v>247</v>
      </c>
      <c r="D15" s="217" t="s">
        <v>249</v>
      </c>
      <c r="E15" s="276" t="s">
        <v>251</v>
      </c>
      <c r="F15" s="217" t="s">
        <v>252</v>
      </c>
    </row>
    <row r="16" spans="1:6" ht="51" thickBot="1" x14ac:dyDescent="0.3">
      <c r="A16" s="277"/>
      <c r="B16" s="223" t="s">
        <v>246</v>
      </c>
      <c r="C16" s="220" t="s">
        <v>248</v>
      </c>
      <c r="D16" s="220" t="s">
        <v>250</v>
      </c>
      <c r="E16" s="277"/>
      <c r="F16" s="220" t="s">
        <v>253</v>
      </c>
    </row>
    <row r="17" spans="1:6" ht="19.8" thickBot="1" x14ac:dyDescent="0.3">
      <c r="A17" s="219">
        <v>5</v>
      </c>
      <c r="B17" s="223" t="s">
        <v>345</v>
      </c>
      <c r="C17" s="220" t="s">
        <v>346</v>
      </c>
      <c r="D17" s="220" t="s">
        <v>347</v>
      </c>
      <c r="E17" s="220" t="s">
        <v>254</v>
      </c>
      <c r="F17" s="220" t="s">
        <v>255</v>
      </c>
    </row>
    <row r="18" spans="1:6" ht="33.6" x14ac:dyDescent="0.25">
      <c r="A18" s="276">
        <v>6</v>
      </c>
      <c r="B18" s="274" t="s">
        <v>348</v>
      </c>
      <c r="C18" s="217" t="s">
        <v>349</v>
      </c>
      <c r="D18" s="217" t="s">
        <v>350</v>
      </c>
      <c r="E18" s="276"/>
      <c r="F18" s="276" t="s">
        <v>258</v>
      </c>
    </row>
    <row r="19" spans="1:6" ht="17.399999999999999" thickBot="1" x14ac:dyDescent="0.3">
      <c r="A19" s="277"/>
      <c r="B19" s="275"/>
      <c r="C19" s="220" t="s">
        <v>256</v>
      </c>
      <c r="D19" s="220" t="s">
        <v>257</v>
      </c>
      <c r="E19" s="277"/>
      <c r="F19" s="277"/>
    </row>
    <row r="20" spans="1:6" ht="16.8" x14ac:dyDescent="0.25">
      <c r="A20" s="276">
        <v>7</v>
      </c>
      <c r="B20" s="274" t="s">
        <v>351</v>
      </c>
      <c r="C20" s="217"/>
      <c r="D20" s="217"/>
      <c r="E20" s="276" t="s">
        <v>244</v>
      </c>
      <c r="F20" s="276" t="s">
        <v>261</v>
      </c>
    </row>
    <row r="21" spans="1:6" ht="34.200000000000003" thickBot="1" x14ac:dyDescent="0.3">
      <c r="A21" s="277"/>
      <c r="B21" s="275"/>
      <c r="C21" s="220" t="s">
        <v>259</v>
      </c>
      <c r="D21" s="220" t="s">
        <v>260</v>
      </c>
      <c r="E21" s="277"/>
      <c r="F21" s="277"/>
    </row>
  </sheetData>
  <mergeCells count="28">
    <mergeCell ref="F18:F19"/>
    <mergeCell ref="A1:F1"/>
    <mergeCell ref="F3:F4"/>
    <mergeCell ref="A20:A21"/>
    <mergeCell ref="B20:B21"/>
    <mergeCell ref="E20:E21"/>
    <mergeCell ref="F20:F21"/>
    <mergeCell ref="A8:A10"/>
    <mergeCell ref="B8:B10"/>
    <mergeCell ref="E8:E10"/>
    <mergeCell ref="F8:F10"/>
    <mergeCell ref="A11:A14"/>
    <mergeCell ref="B11:B14"/>
    <mergeCell ref="E11:E14"/>
    <mergeCell ref="F11:F14"/>
    <mergeCell ref="A18:A19"/>
    <mergeCell ref="E18:E19"/>
    <mergeCell ref="A5:A7"/>
    <mergeCell ref="A15:A16"/>
    <mergeCell ref="E15:E16"/>
    <mergeCell ref="B5:B7"/>
    <mergeCell ref="D5:D7"/>
    <mergeCell ref="E5:E7"/>
    <mergeCell ref="A3:A4"/>
    <mergeCell ref="B3:B4"/>
    <mergeCell ref="C3:C4"/>
    <mergeCell ref="D3:D4"/>
    <mergeCell ref="B18:B1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zoomScale="80" zoomScaleNormal="80" workbookViewId="0">
      <selection sqref="A1:E19"/>
    </sheetView>
  </sheetViews>
  <sheetFormatPr defaultColWidth="9.09765625" defaultRowHeight="23.4" x14ac:dyDescent="0.6"/>
  <cols>
    <col min="1" max="1" width="7.19921875" style="117" customWidth="1"/>
    <col min="2" max="2" width="52.8984375" style="117" customWidth="1"/>
    <col min="3" max="3" width="31.59765625" style="117" customWidth="1"/>
    <col min="4" max="4" width="39" style="117" customWidth="1"/>
    <col min="5" max="5" width="52.69921875" style="117" bestFit="1" customWidth="1"/>
    <col min="6" max="16384" width="9.09765625" style="117"/>
  </cols>
  <sheetData>
    <row r="1" spans="1:5" ht="28.8" x14ac:dyDescent="0.75">
      <c r="A1" s="283" t="s">
        <v>289</v>
      </c>
      <c r="B1" s="284"/>
      <c r="C1" s="284"/>
      <c r="D1" s="284"/>
      <c r="E1" s="285"/>
    </row>
    <row r="2" spans="1:5" ht="10.5" customHeight="1" thickBot="1" x14ac:dyDescent="0.65">
      <c r="A2" s="243"/>
      <c r="B2" s="243"/>
      <c r="C2" s="243"/>
      <c r="D2" s="243"/>
      <c r="E2" s="243"/>
    </row>
    <row r="3" spans="1:5" ht="24" customHeight="1" x14ac:dyDescent="0.6">
      <c r="A3" s="286" t="s">
        <v>223</v>
      </c>
      <c r="B3" s="286" t="s">
        <v>263</v>
      </c>
      <c r="C3" s="286" t="s">
        <v>264</v>
      </c>
      <c r="D3" s="286" t="s">
        <v>265</v>
      </c>
      <c r="E3" s="286" t="s">
        <v>229</v>
      </c>
    </row>
    <row r="4" spans="1:5" ht="24" customHeight="1" thickBot="1" x14ac:dyDescent="0.65">
      <c r="A4" s="287"/>
      <c r="B4" s="287"/>
      <c r="C4" s="287"/>
      <c r="D4" s="287"/>
      <c r="E4" s="287"/>
    </row>
    <row r="5" spans="1:5" ht="24" customHeight="1" thickBot="1" x14ac:dyDescent="0.65">
      <c r="A5" s="118">
        <v>1</v>
      </c>
      <c r="B5" s="119" t="s">
        <v>272</v>
      </c>
      <c r="C5" s="120" t="s">
        <v>12</v>
      </c>
      <c r="D5" s="120" t="s">
        <v>12</v>
      </c>
      <c r="E5" s="120" t="s">
        <v>12</v>
      </c>
    </row>
    <row r="6" spans="1:5" ht="24" customHeight="1" thickBot="1" x14ac:dyDescent="0.65">
      <c r="A6" s="118"/>
      <c r="B6" s="119" t="s">
        <v>273</v>
      </c>
      <c r="C6" s="120" t="s">
        <v>266</v>
      </c>
      <c r="D6" s="119" t="s">
        <v>270</v>
      </c>
      <c r="E6" s="120"/>
    </row>
    <row r="7" spans="1:5" ht="24" customHeight="1" thickBot="1" x14ac:dyDescent="0.65">
      <c r="A7" s="118"/>
      <c r="B7" s="122" t="s">
        <v>274</v>
      </c>
      <c r="C7" s="120" t="s">
        <v>269</v>
      </c>
      <c r="D7" s="119" t="s">
        <v>270</v>
      </c>
      <c r="E7" s="120"/>
    </row>
    <row r="8" spans="1:5" ht="24" customHeight="1" thickBot="1" x14ac:dyDescent="0.65">
      <c r="A8" s="121">
        <v>2</v>
      </c>
      <c r="B8" s="124" t="s">
        <v>287</v>
      </c>
      <c r="C8" s="120" t="s">
        <v>269</v>
      </c>
      <c r="D8" s="119" t="s">
        <v>270</v>
      </c>
      <c r="E8" s="120" t="s">
        <v>288</v>
      </c>
    </row>
    <row r="9" spans="1:5" ht="24" customHeight="1" thickBot="1" x14ac:dyDescent="0.65">
      <c r="A9" s="118">
        <v>3</v>
      </c>
      <c r="B9" s="123" t="s">
        <v>276</v>
      </c>
      <c r="C9" s="120" t="s">
        <v>277</v>
      </c>
      <c r="D9" s="119" t="s">
        <v>270</v>
      </c>
      <c r="E9" s="120"/>
    </row>
    <row r="10" spans="1:5" ht="24" customHeight="1" thickBot="1" x14ac:dyDescent="0.65">
      <c r="A10" s="118">
        <v>4</v>
      </c>
      <c r="B10" s="119" t="s">
        <v>369</v>
      </c>
      <c r="C10" s="120" t="s">
        <v>275</v>
      </c>
      <c r="D10" s="119" t="s">
        <v>270</v>
      </c>
      <c r="E10" s="120"/>
    </row>
    <row r="11" spans="1:5" ht="24" customHeight="1" thickBot="1" x14ac:dyDescent="0.65">
      <c r="A11" s="118">
        <v>5</v>
      </c>
      <c r="B11" s="122" t="s">
        <v>286</v>
      </c>
      <c r="C11" s="120" t="s">
        <v>271</v>
      </c>
      <c r="D11" s="119" t="s">
        <v>270</v>
      </c>
      <c r="E11" s="120"/>
    </row>
    <row r="12" spans="1:5" ht="24" customHeight="1" thickBot="1" x14ac:dyDescent="0.65">
      <c r="A12" s="121">
        <v>6</v>
      </c>
      <c r="B12" s="123" t="s">
        <v>278</v>
      </c>
      <c r="C12" s="120" t="s">
        <v>271</v>
      </c>
      <c r="D12" s="119" t="s">
        <v>270</v>
      </c>
      <c r="E12" s="120" t="s">
        <v>279</v>
      </c>
    </row>
    <row r="13" spans="1:5" ht="24" customHeight="1" thickBot="1" x14ac:dyDescent="0.65">
      <c r="A13" s="118">
        <v>7</v>
      </c>
      <c r="B13" s="119" t="s">
        <v>281</v>
      </c>
      <c r="C13" s="120" t="s">
        <v>271</v>
      </c>
      <c r="D13" s="120" t="s">
        <v>267</v>
      </c>
      <c r="E13" s="120" t="s">
        <v>268</v>
      </c>
    </row>
    <row r="14" spans="1:5" ht="24" customHeight="1" thickBot="1" x14ac:dyDescent="0.65">
      <c r="A14" s="118">
        <v>8</v>
      </c>
      <c r="B14" s="119" t="s">
        <v>364</v>
      </c>
      <c r="C14" s="120" t="s">
        <v>271</v>
      </c>
      <c r="D14" s="120" t="s">
        <v>267</v>
      </c>
      <c r="E14" s="120" t="s">
        <v>366</v>
      </c>
    </row>
    <row r="15" spans="1:5" ht="24" customHeight="1" thickBot="1" x14ac:dyDescent="0.65">
      <c r="A15" s="118">
        <v>9</v>
      </c>
      <c r="B15" s="119" t="s">
        <v>365</v>
      </c>
      <c r="C15" s="120" t="s">
        <v>271</v>
      </c>
      <c r="D15" s="120" t="s">
        <v>267</v>
      </c>
      <c r="E15" s="120" t="s">
        <v>366</v>
      </c>
    </row>
    <row r="16" spans="1:5" ht="24" customHeight="1" thickBot="1" x14ac:dyDescent="0.65">
      <c r="A16" s="118">
        <v>10</v>
      </c>
      <c r="B16" s="119" t="s">
        <v>282</v>
      </c>
      <c r="C16" s="120" t="s">
        <v>271</v>
      </c>
      <c r="D16" s="119" t="s">
        <v>270</v>
      </c>
      <c r="E16" s="120" t="s">
        <v>288</v>
      </c>
    </row>
    <row r="17" spans="1:5" ht="24" customHeight="1" thickBot="1" x14ac:dyDescent="0.65">
      <c r="A17" s="118">
        <v>11</v>
      </c>
      <c r="B17" s="119" t="s">
        <v>283</v>
      </c>
      <c r="C17" s="120" t="s">
        <v>271</v>
      </c>
      <c r="D17" s="119" t="s">
        <v>270</v>
      </c>
      <c r="E17" s="120" t="s">
        <v>284</v>
      </c>
    </row>
    <row r="18" spans="1:5" ht="24" customHeight="1" thickBot="1" x14ac:dyDescent="0.65">
      <c r="A18" s="118">
        <v>12</v>
      </c>
      <c r="B18" s="119" t="s">
        <v>285</v>
      </c>
      <c r="C18" s="120" t="s">
        <v>271</v>
      </c>
      <c r="D18" s="119" t="s">
        <v>270</v>
      </c>
      <c r="E18" s="120" t="s">
        <v>368</v>
      </c>
    </row>
    <row r="19" spans="1:5" ht="24" customHeight="1" thickBot="1" x14ac:dyDescent="0.65">
      <c r="A19" s="118">
        <v>13</v>
      </c>
      <c r="B19" s="119" t="s">
        <v>367</v>
      </c>
      <c r="C19" s="120" t="s">
        <v>280</v>
      </c>
      <c r="D19" s="119" t="s">
        <v>270</v>
      </c>
      <c r="E19" s="120"/>
    </row>
  </sheetData>
  <mergeCells count="6">
    <mergeCell ref="A1:E1"/>
    <mergeCell ref="A3:A4"/>
    <mergeCell ref="B3:B4"/>
    <mergeCell ref="C3:C4"/>
    <mergeCell ref="D3:D4"/>
    <mergeCell ref="E3:E4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12</vt:i4>
      </vt:variant>
    </vt:vector>
  </HeadingPairs>
  <TitlesOfParts>
    <vt:vector size="12" baseType="lpstr">
      <vt:lpstr>Menu</vt:lpstr>
      <vt:lpstr>Form1</vt:lpstr>
      <vt:lpstr>Form2</vt:lpstr>
      <vt:lpstr>Form3</vt:lpstr>
      <vt:lpstr>Form4</vt:lpstr>
      <vt:lpstr>Form5</vt:lpstr>
      <vt:lpstr>Form6</vt:lpstr>
      <vt:lpstr>Form7</vt:lpstr>
      <vt:lpstr>Form8</vt:lpstr>
      <vt:lpstr>Form9</vt:lpstr>
      <vt:lpstr>Form10</vt:lpstr>
      <vt:lpstr>Form11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2014-05-20T10:51:17Z</dcterms:created>
  <dcterms:modified xsi:type="dcterms:W3CDTF">2020-08-17T09:52:37Z</dcterms:modified>
</cp:coreProperties>
</file>